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315" activeTab="3"/>
  </bookViews>
  <sheets>
    <sheet name="2011г." sheetId="1" r:id="rId1"/>
    <sheet name="Лист2" sheetId="2" r:id="rId2"/>
    <sheet name="2010г." sheetId="3" r:id="rId3"/>
    <sheet name="2012" sheetId="4" r:id="rId4"/>
  </sheets>
  <definedNames/>
  <calcPr fullCalcOnLoad="1"/>
</workbook>
</file>

<file path=xl/comments1.xml><?xml version="1.0" encoding="utf-8"?>
<comments xmlns="http://schemas.openxmlformats.org/spreadsheetml/2006/main">
  <authors>
    <author>***</author>
    <author>User</author>
  </authors>
  <commentList>
    <comment ref="Q47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перерасход !!!
</t>
        </r>
      </text>
    </comment>
    <comment ref="E55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(10 000 к собранию 05.02)
</t>
        </r>
      </text>
    </comment>
    <comment ref="E49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не проходят по выписке банка
</t>
        </r>
      </text>
    </comment>
    <comment ref="F55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разработка эскиза благоустройства
</t>
        </r>
      </text>
    </comment>
    <comment ref="G63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выезд специалиста по счетчику,счетчик воды
</t>
        </r>
      </text>
    </comment>
    <comment ref="H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возврат средств по акту сверки Гедеону
</t>
        </r>
      </text>
    </comment>
    <comment ref="I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админ.штраф по пожарной безопасности
</t>
        </r>
      </text>
    </comment>
    <comment ref="K63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электроизмерения
</t>
        </r>
      </text>
    </comment>
    <comment ref="K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СВЧ
</t>
        </r>
      </text>
    </comment>
    <comment ref="M55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выплаты Валитовой и Ширшовой,Роспотребнадзор
</t>
        </r>
      </text>
    </comment>
    <comment ref="P57" authorId="0">
      <text>
        <r>
          <rPr>
            <b/>
            <sz val="9"/>
            <rFont val="Tahoma"/>
            <family val="2"/>
          </rPr>
          <t>***:</t>
        </r>
        <r>
          <rPr>
            <sz val="9"/>
            <rFont val="Tahoma"/>
            <family val="2"/>
          </rPr>
          <t xml:space="preserve">
новогодние подарки детям
</t>
        </r>
      </text>
    </comment>
  </commentList>
</comments>
</file>

<file path=xl/comments3.xml><?xml version="1.0" encoding="utf-8"?>
<comments xmlns="http://schemas.openxmlformats.org/spreadsheetml/2006/main">
  <authors>
    <author>***</author>
  </authors>
  <commentList>
    <comment ref="E50" authorId="0">
      <text>
        <r>
          <rPr>
            <b/>
            <sz val="8"/>
            <rFont val="Tahoma"/>
            <family val="2"/>
          </rPr>
          <t>***:</t>
        </r>
        <r>
          <rPr>
            <sz val="8"/>
            <rFont val="Tahoma"/>
            <family val="2"/>
          </rPr>
          <t xml:space="preserve">
 наличные (55 000)
</t>
        </r>
      </text>
    </comment>
  </commentList>
</comments>
</file>

<file path=xl/sharedStrings.xml><?xml version="1.0" encoding="utf-8"?>
<sst xmlns="http://schemas.openxmlformats.org/spreadsheetml/2006/main" count="571" uniqueCount="234">
  <si>
    <t xml:space="preserve">                                   </t>
  </si>
  <si>
    <t>Утверждено:</t>
  </si>
  <si>
    <t>"_____" _______________ 2010г.</t>
  </si>
  <si>
    <t>ТСЖ "РОДОНИТОВАЯ,9"</t>
  </si>
  <si>
    <t>Остаток на 01.01.2010г. - 1528083 руб.</t>
  </si>
  <si>
    <t>№ п/п</t>
  </si>
  <si>
    <t>ПОКАЗАТЕЛИ</t>
  </si>
  <si>
    <t>ед.изм.</t>
  </si>
  <si>
    <t>план 2010г.</t>
  </si>
  <si>
    <t>3 квартал</t>
  </si>
  <si>
    <t>4 квартал</t>
  </si>
  <si>
    <t>Расхождение</t>
  </si>
  <si>
    <t>Остаток на 26.04.2010г. - 15869,96 руб.</t>
  </si>
  <si>
    <t>1.1.</t>
  </si>
  <si>
    <t>1.2.</t>
  </si>
  <si>
    <t>1.3.</t>
  </si>
  <si>
    <t>Исходные данные</t>
  </si>
  <si>
    <t>Общая полезная площадь квартир</t>
  </si>
  <si>
    <t>Общая площадь офисов</t>
  </si>
  <si>
    <t>Количество проживающих</t>
  </si>
  <si>
    <t>кв.м.</t>
  </si>
  <si>
    <t>чел.</t>
  </si>
  <si>
    <t>2.</t>
  </si>
  <si>
    <t>2.1</t>
  </si>
  <si>
    <t>ДОХОДЫ</t>
  </si>
  <si>
    <t>Возмещение за содержание жилья, в т.ч.</t>
  </si>
  <si>
    <t>- собственников квартир</t>
  </si>
  <si>
    <t>2.2</t>
  </si>
  <si>
    <t>Возмещение собственников за ком.услуги, в т.ч.</t>
  </si>
  <si>
    <t>- за холодное водоснабжение</t>
  </si>
  <si>
    <t>- за водоотведение</t>
  </si>
  <si>
    <t>- за горячее водоснабжение</t>
  </si>
  <si>
    <t>- за отопление</t>
  </si>
  <si>
    <t>2.3</t>
  </si>
  <si>
    <t>2.4</t>
  </si>
  <si>
    <t>2.5</t>
  </si>
  <si>
    <t>2.6</t>
  </si>
  <si>
    <t>2.7</t>
  </si>
  <si>
    <t>Предоставление доступа к жилому фонду</t>
  </si>
  <si>
    <t>- за электроэнергию</t>
  </si>
  <si>
    <t>Возмещение собственников за консьерж</t>
  </si>
  <si>
    <t>Актив - долг собственников на 01.01.2010г.</t>
  </si>
  <si>
    <t>руб.</t>
  </si>
  <si>
    <t>ИТОГО ДОХОДЫ</t>
  </si>
  <si>
    <t>3.</t>
  </si>
  <si>
    <t>РАСХОДЫ</t>
  </si>
  <si>
    <t>3.1</t>
  </si>
  <si>
    <t>Расходы на содержание жилья, в т.ч.</t>
  </si>
  <si>
    <t>- зарплата АУП и обслуживающего персонала</t>
  </si>
  <si>
    <t>- зарплата консьерж</t>
  </si>
  <si>
    <t>- премиальные выплаты, больничные, праздничные</t>
  </si>
  <si>
    <t>- зарплата по договору подряда</t>
  </si>
  <si>
    <t>- за прием сигналов диспетчерской связи</t>
  </si>
  <si>
    <t>- тех.обслуживание дымоудаления</t>
  </si>
  <si>
    <t>- вывоз мусора</t>
  </si>
  <si>
    <t>- канцтовары и хозтовары</t>
  </si>
  <si>
    <t>- на обслуживание видеонаблюдения</t>
  </si>
  <si>
    <t>- за обслуживание сигналов ЛДСС</t>
  </si>
  <si>
    <t>- техосвидетельствование лифтов</t>
  </si>
  <si>
    <t>- за страхование лифтов</t>
  </si>
  <si>
    <t>- на аудиторскую проверку</t>
  </si>
  <si>
    <t>- вознаграждение членам правления</t>
  </si>
  <si>
    <t>3.2</t>
  </si>
  <si>
    <t>Содержание объектов благоустройства, в т.ч.</t>
  </si>
  <si>
    <t>3.3</t>
  </si>
  <si>
    <t>Обязательные платежи, в т.ч.</t>
  </si>
  <si>
    <t>3.4</t>
  </si>
  <si>
    <t>Коммунальные услуги, в т.ч.</t>
  </si>
  <si>
    <t>- холодное водоснабжение и водоотведение</t>
  </si>
  <si>
    <t>- горячее водоснабжение</t>
  </si>
  <si>
    <t>- отопление</t>
  </si>
  <si>
    <t>- электро-энергия</t>
  </si>
  <si>
    <t>3.5</t>
  </si>
  <si>
    <t>Создание резервного фонда - банковский депозит</t>
  </si>
  <si>
    <t>ИТОГО РАСХОДОВ</t>
  </si>
  <si>
    <t>- за услуги связи, почты</t>
  </si>
  <si>
    <t>- услуги охраны</t>
  </si>
  <si>
    <t>- госпошлина, юридические услуги</t>
  </si>
  <si>
    <t>Аренда помещений (размещение оборудования)</t>
  </si>
  <si>
    <t>- отчисления в социальные фонды, налоги</t>
  </si>
  <si>
    <t>- на непредвиденные расходы, услуги спецтехники</t>
  </si>
  <si>
    <t>1 квартал по 26.04.2010г.</t>
  </si>
  <si>
    <t>2 квартал  с 27.04.2010г.</t>
  </si>
  <si>
    <t>ИТОГО       2010 год</t>
  </si>
  <si>
    <t>- ремонт и обслуживание внутридомового инженерного оборудования</t>
  </si>
  <si>
    <t>- ТО лифтов</t>
  </si>
  <si>
    <t>- услуги банка*</t>
  </si>
  <si>
    <t>- консультационные, информационные</t>
  </si>
  <si>
    <t>2.8</t>
  </si>
  <si>
    <t>Приход д/с по дог. №ПС-18-09/1 от 15.09.2009 г.</t>
  </si>
  <si>
    <t>план 2011г.</t>
  </si>
  <si>
    <t>- заработная плата Председателя Правления</t>
  </si>
  <si>
    <t>Возмещение офисов за аренду,ком.услуги и сод.жилья</t>
  </si>
  <si>
    <t>- премиальные выплаты, больничные</t>
  </si>
  <si>
    <t>Увеличение дохода за счет увеличения общей полезной площади квартир и платежеспособности жителей</t>
  </si>
  <si>
    <t xml:space="preserve">Недополучено средств </t>
  </si>
  <si>
    <t>Экономия в связи с уменьшением ФОТ</t>
  </si>
  <si>
    <t xml:space="preserve">Экономия  </t>
  </si>
  <si>
    <t>Экономия</t>
  </si>
  <si>
    <t>- программный продукт,техлитература, содержание оргтехники</t>
  </si>
  <si>
    <t>Перерасход в связи с некорректным планированием статьи</t>
  </si>
  <si>
    <t>Перераход в связи с необходимостью покупки программного обеспечения</t>
  </si>
  <si>
    <t>Перерасход в связи с повышением тарифов на услуги</t>
  </si>
  <si>
    <t>Перерасход</t>
  </si>
  <si>
    <t>Недополучено средств за ком.услуги  от жителей</t>
  </si>
  <si>
    <t>Перерасход за счет проведения ремонта тросов</t>
  </si>
  <si>
    <t>Согласно планируемого бюджета на 2011г. расходы на 1 кв.м. общей площади содержания жилья составляют 21,80 руб. Правлением ТСЖ "Родонитовая,9" утвержден тариф на 1 кв.м. общей площади 17,84 руб. согласно Постановления Администрации г.Екатеринбурга от 30.12.2010 № 932.  Правлением рассмотрен вопрос о повышении платы за консьержей на 25 руб. в месяц с одной квартиры. В связи с этим стоимость оплат за консьержа составляет 325,00 руб. в месяц.</t>
  </si>
  <si>
    <t>- штукатурно - малярные работы, ремонт подъездов</t>
  </si>
  <si>
    <t>- детская площадка,подвалы, чердак, ремонт фасада дома,организация строительства площадки для мусора</t>
  </si>
  <si>
    <t>БЮДЖЕТ НА 2011 ГОД</t>
  </si>
  <si>
    <t>- программный продукт, техлитература, содержание оргтехники</t>
  </si>
  <si>
    <t>- услуги банка*(РКО)</t>
  </si>
  <si>
    <t>- комиссия банка,терминала за перечисление средств жителей</t>
  </si>
  <si>
    <t>Остаток на 01.01.2011г. - 539 255,00 руб.</t>
  </si>
  <si>
    <t xml:space="preserve">1 квартал, январь </t>
  </si>
  <si>
    <t>Актив - долг собственников на 01.01.2011г.</t>
  </si>
  <si>
    <t>- за услуги связи(мобильная,стац.,интернет), почты</t>
  </si>
  <si>
    <t>- на непредвиденные расходы</t>
  </si>
  <si>
    <t>- штукатурно - малярные работы во 2 и 3 подъездах</t>
  </si>
  <si>
    <t>- установка ограждений вокруг территории дома</t>
  </si>
  <si>
    <t>- оборудование детской площадки</t>
  </si>
  <si>
    <t>- ремонт фасада дома, покупка деревьев и кустарников и выполнение работ по озеленению придомовой территории</t>
  </si>
  <si>
    <t>- строительство контейнерной площадки для мусора</t>
  </si>
  <si>
    <t>- ремонт и обслуживание систем видеонаблюдения, установка шлагбаума</t>
  </si>
  <si>
    <t>БЮДЖЕТ НА 2010 ГОД</t>
  </si>
  <si>
    <t>1 квартал  февраль</t>
  </si>
  <si>
    <t xml:space="preserve">Оплаты Валитова </t>
  </si>
  <si>
    <t>1 квартал  март</t>
  </si>
  <si>
    <t>2 квартал апрель</t>
  </si>
  <si>
    <t>2 квартал май</t>
  </si>
  <si>
    <t>2 квартал июнь</t>
  </si>
  <si>
    <t>3 квартал июль</t>
  </si>
  <si>
    <t>3 квартал август</t>
  </si>
  <si>
    <t>3 квартал сентябрь</t>
  </si>
  <si>
    <t>в т.ч. з/п паспортиста</t>
  </si>
  <si>
    <t>в т.ч. обслуживание домофона</t>
  </si>
  <si>
    <t>доплата за консьерж</t>
  </si>
  <si>
    <t>- отопление, горячее водоснабжение</t>
  </si>
  <si>
    <t>- обслуживание домофона</t>
  </si>
  <si>
    <t>- оборудование парковочных мест для личного автотранспорта,прокладывание асфальтового покрытия для выезда с домовой территории</t>
  </si>
  <si>
    <t xml:space="preserve">          возмещение ТСЖ Хризолит</t>
  </si>
  <si>
    <t>Председатель Правления ТСЖ "Родонитовая,9"</t>
  </si>
  <si>
    <t>Минеев А.И,</t>
  </si>
  <si>
    <t>Бухгалтер</t>
  </si>
  <si>
    <t>Соловьева А.А.</t>
  </si>
  <si>
    <t>Утверждено:                               _______________________________                  _______________________________                    _______________________________                   _______________________________               ____________________</t>
  </si>
  <si>
    <t>4 квартал октябрь</t>
  </si>
  <si>
    <t>4 квартал ноябрь</t>
  </si>
  <si>
    <t>4 квартал декабрь</t>
  </si>
  <si>
    <t xml:space="preserve">ИТОГО       2011 год </t>
  </si>
  <si>
    <t>Утверждено: _______________________________________________</t>
  </si>
  <si>
    <t>Долг собственников жилья на 01.01.2011г. составлял  1.558.515,00руб., на 31.12.2011г. долг собственников жилья уменьшился до 1.302.100,00 руб.</t>
  </si>
  <si>
    <t>Грекова Н.Г.</t>
  </si>
  <si>
    <t>Председатель Правления                                    ТСЖ "Родонитовая,9"</t>
  </si>
  <si>
    <t xml:space="preserve"> -   доплата за консьерж</t>
  </si>
  <si>
    <t>в т.ч.-   договор подряда обсл. домофона</t>
  </si>
  <si>
    <t>в т.ч - з/п паспортиста</t>
  </si>
  <si>
    <t>Экономия средств за 2011г. составила  2190603,88 руб., в т.ч. неоплаченная задолженность жителей дома за коммунальные услуги 1.302.100,00 руб., что и приходится на разницу, которая является остатком денежных средств на конец года на расчетном счете ТСЖ.</t>
  </si>
  <si>
    <t>.</t>
  </si>
  <si>
    <t>Доходы</t>
  </si>
  <si>
    <t>за год</t>
  </si>
  <si>
    <t>Содержание жилья</t>
  </si>
  <si>
    <t xml:space="preserve">Общие доходы по управлению и текущему </t>
  </si>
  <si>
    <t>содержанию жилья</t>
  </si>
  <si>
    <t>1.1</t>
  </si>
  <si>
    <t>1.2</t>
  </si>
  <si>
    <t>1.</t>
  </si>
  <si>
    <t>1.3</t>
  </si>
  <si>
    <t>Техническое обслуживание лифтов</t>
  </si>
  <si>
    <t>1.4</t>
  </si>
  <si>
    <t>1.5</t>
  </si>
  <si>
    <t>Вознаграждение по агентскому договору</t>
  </si>
  <si>
    <t>1.12</t>
  </si>
  <si>
    <t>1.13</t>
  </si>
  <si>
    <t>1.14</t>
  </si>
  <si>
    <t>1.15</t>
  </si>
  <si>
    <t>Налог на УСН</t>
  </si>
  <si>
    <t xml:space="preserve">   Планируемое годовое поступление </t>
  </si>
  <si>
    <t xml:space="preserve">      денежных средств-ДОХОДЫ</t>
  </si>
  <si>
    <t>Хоз.товары</t>
  </si>
  <si>
    <t>Канц.товары</t>
  </si>
  <si>
    <t>1.17</t>
  </si>
  <si>
    <t>1.18</t>
  </si>
  <si>
    <t>1.20</t>
  </si>
  <si>
    <t>Техническое освидет-е лифтов</t>
  </si>
  <si>
    <t>1.22</t>
  </si>
  <si>
    <t>1.24</t>
  </si>
  <si>
    <t>1.26</t>
  </si>
  <si>
    <t>Поверка приборов учета</t>
  </si>
  <si>
    <t>1.27</t>
  </si>
  <si>
    <t>Услуги банка %за перечисл,квартплаты</t>
  </si>
  <si>
    <t>1.28</t>
  </si>
  <si>
    <t xml:space="preserve">Товарищество собственников </t>
  </si>
  <si>
    <t xml:space="preserve">      жилья "Родонитовая,9"</t>
  </si>
  <si>
    <t xml:space="preserve">                                              </t>
  </si>
  <si>
    <r>
      <t xml:space="preserve">                                                   </t>
    </r>
    <r>
      <rPr>
        <b/>
        <sz val="20"/>
        <rFont val="Arial Cyr"/>
        <family val="0"/>
      </rPr>
      <t>Проект</t>
    </r>
  </si>
  <si>
    <t xml:space="preserve">Общая сумма дохода </t>
  </si>
  <si>
    <t xml:space="preserve">          ИТОГО    ЗАТРАТ</t>
  </si>
  <si>
    <t xml:space="preserve">      ВСЕГО ДОХОДЫ - РАСХОДЫ</t>
  </si>
  <si>
    <t xml:space="preserve">           РАСХОДЫ</t>
  </si>
  <si>
    <t>Председатель Правления                                                                    ТСЖ "Родонитовая,9"</t>
  </si>
  <si>
    <t xml:space="preserve">                                 Павлов И.В</t>
  </si>
  <si>
    <t>Аварийно-диспетчерское обслуживание</t>
  </si>
  <si>
    <t>Услуги связи (мобильн.стац.интернет)</t>
  </si>
  <si>
    <t>Техническое обслуживание средств сигнализац</t>
  </si>
  <si>
    <t>Услуги охраны</t>
  </si>
  <si>
    <t>1.6</t>
  </si>
  <si>
    <t xml:space="preserve">1.7 </t>
  </si>
  <si>
    <t>1.8</t>
  </si>
  <si>
    <t>1.9</t>
  </si>
  <si>
    <t>1.10</t>
  </si>
  <si>
    <t>1.16</t>
  </si>
  <si>
    <t>1.19</t>
  </si>
  <si>
    <t>з/п  управ-е и обслуж.перс(+налоги с ФОТ)</t>
  </si>
  <si>
    <t xml:space="preserve">Обслуживание системы видеонаблюдения </t>
  </si>
  <si>
    <t>Услуги банка РКО 0,4% переч зарплаты</t>
  </si>
  <si>
    <r>
      <t xml:space="preserve">                 </t>
    </r>
    <r>
      <rPr>
        <b/>
        <sz val="12"/>
        <rFont val="Arial Cyr"/>
        <family val="0"/>
      </rPr>
      <t xml:space="preserve"> СМЕТА РАСХОДОВ</t>
    </r>
  </si>
  <si>
    <t>Вознаграждение по гражданско-правовым договорам+(налоги )</t>
  </si>
  <si>
    <t>Промывка систем отопления</t>
  </si>
  <si>
    <t>Госпошлина,штрафы,пени</t>
  </si>
  <si>
    <t xml:space="preserve">         Финансового  плана - Смета доходов и расходов по содержанию общего  </t>
  </si>
  <si>
    <t>Непредвиденные расходы (ликвидация аварийных ситуаций)</t>
  </si>
  <si>
    <t>Выплата вознаграждения ревизионной комиссии</t>
  </si>
  <si>
    <t>Программное обеспечение в т.ч обновление</t>
  </si>
  <si>
    <t>Нежилые помещения</t>
  </si>
  <si>
    <t>Расходы на матер-лы,инструмент,инвентарь, транспортные расходы</t>
  </si>
  <si>
    <t>Семинары, обучение персонала</t>
  </si>
  <si>
    <t xml:space="preserve">Текущий ремонт дома,содержание, благоустройство дворовой территории </t>
  </si>
  <si>
    <t>Обслуживание домофонной системы и системы доступа на дворовую территорию</t>
  </si>
  <si>
    <t>1.30</t>
  </si>
  <si>
    <t>Оргтехника</t>
  </si>
  <si>
    <t>1.31</t>
  </si>
  <si>
    <t>Расчет тарифа: 5 465 000 / 19 797,7 кв.м. / 12 мес. = 23 руб./кв.м. в мес.</t>
  </si>
  <si>
    <t xml:space="preserve">                       имущества жилого дома на 2020 год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</si>
</sst>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2"/>
      <name val="Arial Cyr"/>
      <family val="0"/>
    </font>
    <font>
      <sz val="28"/>
      <name val="Arial Cyr"/>
      <family val="0"/>
    </font>
    <font>
      <b/>
      <sz val="28"/>
      <name val="Arial Cyr"/>
      <family val="0"/>
    </font>
    <font>
      <b/>
      <sz val="12"/>
      <name val="Arial Cyr"/>
      <family val="0"/>
    </font>
    <font>
      <sz val="12"/>
      <name val="Calibri"/>
      <family val="2"/>
    </font>
    <font>
      <b/>
      <i/>
      <sz val="12"/>
      <name val="Arial Cyr"/>
      <family val="0"/>
    </font>
    <font>
      <b/>
      <sz val="20"/>
      <name val="Arial Cyr"/>
      <family val="0"/>
    </font>
    <font>
      <b/>
      <sz val="8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horizontal="center" shrinkToFit="1"/>
    </xf>
    <xf numFmtId="49" fontId="0" fillId="0" borderId="15" xfId="0" applyNumberFormat="1" applyBorder="1" applyAlignment="1">
      <alignment shrinkToFit="1"/>
    </xf>
    <xf numFmtId="49" fontId="0" fillId="0" borderId="16" xfId="0" applyNumberFormat="1" applyBorder="1" applyAlignment="1">
      <alignment shrinkToFit="1"/>
    </xf>
    <xf numFmtId="49" fontId="0" fillId="0" borderId="17" xfId="0" applyNumberFormat="1" applyBorder="1" applyAlignment="1">
      <alignment shrinkToFit="1"/>
    </xf>
    <xf numFmtId="49" fontId="0" fillId="0" borderId="18" xfId="0" applyNumberFormat="1" applyBorder="1" applyAlignment="1">
      <alignment shrinkToFit="1"/>
    </xf>
    <xf numFmtId="49" fontId="0" fillId="0" borderId="19" xfId="0" applyNumberFormat="1" applyBorder="1" applyAlignment="1">
      <alignment shrinkToFit="1"/>
    </xf>
    <xf numFmtId="49" fontId="0" fillId="0" borderId="20" xfId="0" applyNumberFormat="1" applyBorder="1" applyAlignment="1">
      <alignment shrinkToFit="1"/>
    </xf>
    <xf numFmtId="0" fontId="0" fillId="32" borderId="17" xfId="0" applyFill="1" applyBorder="1" applyAlignment="1">
      <alignment shrinkToFit="1"/>
    </xf>
    <xf numFmtId="0" fontId="0" fillId="32" borderId="21" xfId="0" applyFill="1" applyBorder="1" applyAlignment="1">
      <alignment shrinkToFit="1"/>
    </xf>
    <xf numFmtId="0" fontId="0" fillId="32" borderId="18" xfId="0" applyFill="1" applyBorder="1" applyAlignment="1">
      <alignment shrinkToFit="1"/>
    </xf>
    <xf numFmtId="0" fontId="0" fillId="32" borderId="22" xfId="0" applyFill="1" applyBorder="1" applyAlignment="1">
      <alignment shrinkToFit="1"/>
    </xf>
    <xf numFmtId="2" fontId="0" fillId="32" borderId="18" xfId="0" applyNumberFormat="1" applyFill="1" applyBorder="1" applyAlignment="1">
      <alignment shrinkToFit="1"/>
    </xf>
    <xf numFmtId="0" fontId="0" fillId="32" borderId="20" xfId="0" applyFill="1" applyBorder="1" applyAlignment="1">
      <alignment shrinkToFit="1"/>
    </xf>
    <xf numFmtId="0" fontId="0" fillId="32" borderId="23" xfId="0" applyFill="1" applyBorder="1" applyAlignment="1">
      <alignment shrinkToFit="1"/>
    </xf>
    <xf numFmtId="2" fontId="0" fillId="32" borderId="20" xfId="0" applyNumberFormat="1" applyFill="1" applyBorder="1" applyAlignment="1">
      <alignment shrinkToFit="1"/>
    </xf>
    <xf numFmtId="0" fontId="0" fillId="32" borderId="24" xfId="0" applyFill="1" applyBorder="1" applyAlignment="1">
      <alignment shrinkToFit="1"/>
    </xf>
    <xf numFmtId="0" fontId="0" fillId="32" borderId="25" xfId="0" applyFill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3" fillId="0" borderId="13" xfId="0" applyNumberFormat="1" applyFont="1" applyBorder="1" applyAlignment="1">
      <alignment shrinkToFit="1"/>
    </xf>
    <xf numFmtId="0" fontId="0" fillId="4" borderId="17" xfId="0" applyFill="1" applyBorder="1" applyAlignment="1">
      <alignment shrinkToFit="1"/>
    </xf>
    <xf numFmtId="0" fontId="0" fillId="4" borderId="18" xfId="0" applyFill="1" applyBorder="1" applyAlignment="1">
      <alignment shrinkToFit="1"/>
    </xf>
    <xf numFmtId="0" fontId="0" fillId="4" borderId="20" xfId="0" applyFill="1" applyBorder="1" applyAlignment="1">
      <alignment shrinkToFit="1"/>
    </xf>
    <xf numFmtId="0" fontId="3" fillId="4" borderId="14" xfId="0" applyFont="1" applyFill="1" applyBorder="1" applyAlignment="1">
      <alignment shrinkToFit="1"/>
    </xf>
    <xf numFmtId="49" fontId="0" fillId="0" borderId="27" xfId="0" applyNumberFormat="1" applyBorder="1" applyAlignment="1">
      <alignment shrinkToFit="1"/>
    </xf>
    <xf numFmtId="49" fontId="0" fillId="0" borderId="28" xfId="0" applyNumberFormat="1" applyBorder="1" applyAlignment="1">
      <alignment shrinkToFit="1"/>
    </xf>
    <xf numFmtId="0" fontId="0" fillId="4" borderId="28" xfId="0" applyFill="1" applyBorder="1" applyAlignment="1">
      <alignment shrinkToFit="1"/>
    </xf>
    <xf numFmtId="0" fontId="0" fillId="32" borderId="28" xfId="0" applyFill="1" applyBorder="1" applyAlignment="1">
      <alignment shrinkToFit="1"/>
    </xf>
    <xf numFmtId="4" fontId="3" fillId="4" borderId="14" xfId="0" applyNumberFormat="1" applyFont="1" applyFill="1" applyBorder="1" applyAlignment="1">
      <alignment shrinkToFit="1"/>
    </xf>
    <xf numFmtId="4" fontId="0" fillId="32" borderId="18" xfId="0" applyNumberFormat="1" applyFill="1" applyBorder="1" applyAlignment="1">
      <alignment shrinkToFit="1"/>
    </xf>
    <xf numFmtId="0" fontId="0" fillId="4" borderId="14" xfId="0" applyFont="1" applyFill="1" applyBorder="1" applyAlignment="1">
      <alignment horizontal="center" vertical="center" shrinkToFit="1"/>
    </xf>
    <xf numFmtId="0" fontId="0" fillId="32" borderId="14" xfId="0" applyFont="1" applyFill="1" applyBorder="1" applyAlignment="1">
      <alignment horizontal="center" vertical="center" wrapText="1" shrinkToFit="1"/>
    </xf>
    <xf numFmtId="0" fontId="0" fillId="32" borderId="14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3" fontId="3" fillId="4" borderId="14" xfId="0" applyNumberFormat="1" applyFont="1" applyFill="1" applyBorder="1" applyAlignment="1">
      <alignment shrinkToFit="1"/>
    </xf>
    <xf numFmtId="4" fontId="3" fillId="32" borderId="14" xfId="0" applyNumberFormat="1" applyFont="1" applyFill="1" applyBorder="1" applyAlignment="1">
      <alignment shrinkToFit="1"/>
    </xf>
    <xf numFmtId="0" fontId="0" fillId="4" borderId="30" xfId="0" applyFont="1" applyFill="1" applyBorder="1" applyAlignment="1">
      <alignment horizontal="center" vertical="center" wrapText="1" shrinkToFit="1"/>
    </xf>
    <xf numFmtId="0" fontId="0" fillId="4" borderId="31" xfId="0" applyFill="1" applyBorder="1" applyAlignment="1">
      <alignment shrinkToFit="1"/>
    </xf>
    <xf numFmtId="0" fontId="0" fillId="4" borderId="32" xfId="0" applyFill="1" applyBorder="1" applyAlignment="1">
      <alignment shrinkToFit="1"/>
    </xf>
    <xf numFmtId="3" fontId="0" fillId="4" borderId="32" xfId="0" applyNumberFormat="1" applyFill="1" applyBorder="1" applyAlignment="1">
      <alignment shrinkToFit="1"/>
    </xf>
    <xf numFmtId="0" fontId="0" fillId="4" borderId="33" xfId="0" applyFill="1" applyBorder="1" applyAlignment="1">
      <alignment shrinkToFit="1"/>
    </xf>
    <xf numFmtId="3" fontId="3" fillId="4" borderId="30" xfId="0" applyNumberFormat="1" applyFont="1" applyFill="1" applyBorder="1" applyAlignment="1">
      <alignment shrinkToFit="1"/>
    </xf>
    <xf numFmtId="0" fontId="0" fillId="32" borderId="34" xfId="0" applyFont="1" applyFill="1" applyBorder="1" applyAlignment="1">
      <alignment horizontal="center" vertical="center" wrapText="1" shrinkToFit="1"/>
    </xf>
    <xf numFmtId="4" fontId="3" fillId="32" borderId="34" xfId="0" applyNumberFormat="1" applyFont="1" applyFill="1" applyBorder="1" applyAlignment="1">
      <alignment shrinkToFit="1"/>
    </xf>
    <xf numFmtId="0" fontId="0" fillId="4" borderId="13" xfId="0" applyFont="1" applyFill="1" applyBorder="1" applyAlignment="1">
      <alignment horizontal="center" vertical="center" wrapText="1" shrinkToFit="1"/>
    </xf>
    <xf numFmtId="0" fontId="0" fillId="4" borderId="12" xfId="0" applyFill="1" applyBorder="1" applyAlignment="1">
      <alignment shrinkToFit="1"/>
    </xf>
    <xf numFmtId="0" fontId="0" fillId="4" borderId="15" xfId="0" applyFill="1" applyBorder="1" applyAlignment="1">
      <alignment shrinkToFit="1"/>
    </xf>
    <xf numFmtId="0" fontId="0" fillId="32" borderId="22" xfId="0" applyFill="1" applyBorder="1" applyAlignment="1">
      <alignment horizontal="right" shrinkToFit="1"/>
    </xf>
    <xf numFmtId="4" fontId="0" fillId="4" borderId="15" xfId="0" applyNumberFormat="1" applyFill="1" applyBorder="1" applyAlignment="1">
      <alignment shrinkToFit="1"/>
    </xf>
    <xf numFmtId="0" fontId="0" fillId="4" borderId="19" xfId="0" applyFill="1" applyBorder="1" applyAlignment="1">
      <alignment shrinkToFit="1"/>
    </xf>
    <xf numFmtId="4" fontId="3" fillId="4" borderId="13" xfId="0" applyNumberFormat="1" applyFont="1" applyFill="1" applyBorder="1" applyAlignment="1">
      <alignment shrinkToFit="1"/>
    </xf>
    <xf numFmtId="4" fontId="0" fillId="32" borderId="22" xfId="0" applyNumberFormat="1" applyFill="1" applyBorder="1" applyAlignment="1">
      <alignment shrinkToFit="1"/>
    </xf>
    <xf numFmtId="3" fontId="0" fillId="32" borderId="22" xfId="0" applyNumberFormat="1" applyFill="1" applyBorder="1" applyAlignment="1">
      <alignment shrinkToFit="1"/>
    </xf>
    <xf numFmtId="0" fontId="0" fillId="32" borderId="35" xfId="0" applyFill="1" applyBorder="1" applyAlignment="1">
      <alignment shrinkToFit="1"/>
    </xf>
    <xf numFmtId="0" fontId="0" fillId="32" borderId="36" xfId="0" applyFill="1" applyBorder="1" applyAlignment="1">
      <alignment shrinkToFit="1"/>
    </xf>
    <xf numFmtId="0" fontId="0" fillId="32" borderId="15" xfId="0" applyFill="1" applyBorder="1" applyAlignment="1">
      <alignment shrinkToFit="1"/>
    </xf>
    <xf numFmtId="4" fontId="0" fillId="32" borderId="15" xfId="0" applyNumberFormat="1" applyFill="1" applyBorder="1" applyAlignment="1">
      <alignment shrinkToFit="1"/>
    </xf>
    <xf numFmtId="0" fontId="0" fillId="32" borderId="16" xfId="0" applyFill="1" applyBorder="1" applyAlignment="1">
      <alignment shrinkToFit="1"/>
    </xf>
    <xf numFmtId="4" fontId="0" fillId="32" borderId="20" xfId="0" applyNumberFormat="1" applyFill="1" applyBorder="1" applyAlignment="1">
      <alignment shrinkToFit="1"/>
    </xf>
    <xf numFmtId="4" fontId="3" fillId="32" borderId="29" xfId="0" applyNumberFormat="1" applyFont="1" applyFill="1" applyBorder="1" applyAlignment="1">
      <alignment shrinkToFit="1"/>
    </xf>
    <xf numFmtId="49" fontId="0" fillId="0" borderId="20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shrinkToFit="1"/>
    </xf>
    <xf numFmtId="49" fontId="0" fillId="33" borderId="18" xfId="0" applyNumberFormat="1" applyFill="1" applyBorder="1" applyAlignment="1">
      <alignment shrinkToFit="1"/>
    </xf>
    <xf numFmtId="4" fontId="0" fillId="32" borderId="23" xfId="0" applyNumberFormat="1" applyFill="1" applyBorder="1" applyAlignment="1">
      <alignment shrinkToFit="1"/>
    </xf>
    <xf numFmtId="2" fontId="3" fillId="32" borderId="14" xfId="0" applyNumberFormat="1" applyFont="1" applyFill="1" applyBorder="1" applyAlignment="1">
      <alignment shrinkToFit="1"/>
    </xf>
    <xf numFmtId="4" fontId="3" fillId="32" borderId="30" xfId="0" applyNumberFormat="1" applyFont="1" applyFill="1" applyBorder="1" applyAlignment="1">
      <alignment shrinkToFit="1"/>
    </xf>
    <xf numFmtId="4" fontId="3" fillId="32" borderId="13" xfId="0" applyNumberFormat="1" applyFont="1" applyFill="1" applyBorder="1" applyAlignment="1">
      <alignment shrinkToFit="1"/>
    </xf>
    <xf numFmtId="2" fontId="0" fillId="32" borderId="22" xfId="0" applyNumberFormat="1" applyFill="1" applyBorder="1" applyAlignment="1">
      <alignment shrinkToFit="1"/>
    </xf>
    <xf numFmtId="2" fontId="0" fillId="32" borderId="15" xfId="0" applyNumberFormat="1" applyFill="1" applyBorder="1" applyAlignment="1">
      <alignment shrinkToFit="1"/>
    </xf>
    <xf numFmtId="49" fontId="0" fillId="0" borderId="18" xfId="0" applyNumberFormat="1" applyBorder="1" applyAlignment="1">
      <alignment horizontal="left" shrinkToFit="1"/>
    </xf>
    <xf numFmtId="49" fontId="0" fillId="0" borderId="20" xfId="0" applyNumberFormat="1" applyBorder="1" applyAlignment="1">
      <alignment horizontal="left" shrinkToFit="1"/>
    </xf>
    <xf numFmtId="4" fontId="0" fillId="4" borderId="19" xfId="0" applyNumberFormat="1" applyFill="1" applyBorder="1" applyAlignment="1">
      <alignment shrinkToFit="1"/>
    </xf>
    <xf numFmtId="2" fontId="0" fillId="4" borderId="15" xfId="0" applyNumberFormat="1" applyFill="1" applyBorder="1" applyAlignment="1">
      <alignment shrinkToFit="1"/>
    </xf>
    <xf numFmtId="3" fontId="0" fillId="4" borderId="33" xfId="0" applyNumberFormat="1" applyFill="1" applyBorder="1" applyAlignment="1">
      <alignment shrinkToFit="1"/>
    </xf>
    <xf numFmtId="0" fontId="0" fillId="4" borderId="35" xfId="0" applyFill="1" applyBorder="1" applyAlignment="1">
      <alignment shrinkToFit="1"/>
    </xf>
    <xf numFmtId="0" fontId="0" fillId="32" borderId="37" xfId="0" applyFill="1" applyBorder="1" applyAlignment="1">
      <alignment shrinkToFit="1"/>
    </xf>
    <xf numFmtId="3" fontId="0" fillId="4" borderId="15" xfId="0" applyNumberFormat="1" applyFill="1" applyBorder="1" applyAlignment="1">
      <alignment shrinkToFit="1"/>
    </xf>
    <xf numFmtId="3" fontId="0" fillId="4" borderId="19" xfId="0" applyNumberFormat="1" applyFill="1" applyBorder="1" applyAlignment="1">
      <alignment shrinkToFit="1"/>
    </xf>
    <xf numFmtId="3" fontId="0" fillId="32" borderId="23" xfId="0" applyNumberFormat="1" applyFill="1" applyBorder="1" applyAlignment="1">
      <alignment shrinkToFit="1"/>
    </xf>
    <xf numFmtId="0" fontId="0" fillId="4" borderId="16" xfId="0" applyFill="1" applyBorder="1" applyAlignment="1">
      <alignment shrinkToFit="1"/>
    </xf>
    <xf numFmtId="49" fontId="0" fillId="0" borderId="18" xfId="0" applyNumberFormat="1" applyFont="1" applyBorder="1" applyAlignment="1">
      <alignment horizontal="left" shrinkToFit="1"/>
    </xf>
    <xf numFmtId="2" fontId="0" fillId="32" borderId="23" xfId="0" applyNumberFormat="1" applyFill="1" applyBorder="1" applyAlignment="1">
      <alignment shrinkToFit="1"/>
    </xf>
    <xf numFmtId="0" fontId="0" fillId="32" borderId="30" xfId="0" applyFont="1" applyFill="1" applyBorder="1" applyAlignment="1">
      <alignment horizontal="center" vertical="center" shrinkToFit="1"/>
    </xf>
    <xf numFmtId="0" fontId="0" fillId="32" borderId="38" xfId="0" applyFill="1" applyBorder="1" applyAlignment="1">
      <alignment shrinkToFit="1"/>
    </xf>
    <xf numFmtId="0" fontId="0" fillId="32" borderId="32" xfId="0" applyFill="1" applyBorder="1" applyAlignment="1">
      <alignment shrinkToFit="1"/>
    </xf>
    <xf numFmtId="2" fontId="3" fillId="32" borderId="32" xfId="0" applyNumberFormat="1" applyFont="1" applyFill="1" applyBorder="1" applyAlignment="1">
      <alignment shrinkToFit="1"/>
    </xf>
    <xf numFmtId="2" fontId="0" fillId="32" borderId="32" xfId="0" applyNumberFormat="1" applyFill="1" applyBorder="1" applyAlignment="1">
      <alignment shrinkToFit="1"/>
    </xf>
    <xf numFmtId="2" fontId="3" fillId="32" borderId="39" xfId="0" applyNumberFormat="1" applyFont="1" applyFill="1" applyBorder="1" applyAlignment="1">
      <alignment shrinkToFit="1"/>
    </xf>
    <xf numFmtId="2" fontId="3" fillId="32" borderId="30" xfId="0" applyNumberFormat="1" applyFont="1" applyFill="1" applyBorder="1" applyAlignment="1">
      <alignment shrinkToFit="1"/>
    </xf>
    <xf numFmtId="4" fontId="3" fillId="32" borderId="32" xfId="0" applyNumberFormat="1" applyFont="1" applyFill="1" applyBorder="1" applyAlignment="1">
      <alignment shrinkToFit="1"/>
    </xf>
    <xf numFmtId="4" fontId="3" fillId="32" borderId="33" xfId="0" applyNumberFormat="1" applyFont="1" applyFill="1" applyBorder="1" applyAlignment="1">
      <alignment shrinkToFit="1"/>
    </xf>
    <xf numFmtId="4" fontId="0" fillId="32" borderId="33" xfId="0" applyNumberFormat="1" applyFill="1" applyBorder="1" applyAlignment="1">
      <alignment shrinkToFit="1"/>
    </xf>
    <xf numFmtId="0" fontId="0" fillId="32" borderId="39" xfId="0" applyFill="1" applyBorder="1" applyAlignment="1">
      <alignment shrinkToFit="1"/>
    </xf>
    <xf numFmtId="0" fontId="0" fillId="32" borderId="40" xfId="0" applyFill="1" applyBorder="1" applyAlignment="1">
      <alignment shrinkToFit="1"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/>
    </xf>
    <xf numFmtId="0" fontId="0" fillId="32" borderId="41" xfId="0" applyFont="1" applyFill="1" applyBorder="1" applyAlignment="1">
      <alignment horizontal="center" vertical="center" shrinkToFit="1"/>
    </xf>
    <xf numFmtId="2" fontId="0" fillId="0" borderId="18" xfId="0" applyNumberForma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3" fillId="0" borderId="41" xfId="0" applyNumberFormat="1" applyFont="1" applyFill="1" applyBorder="1" applyAlignment="1">
      <alignment shrinkToFit="1"/>
    </xf>
    <xf numFmtId="49" fontId="0" fillId="33" borderId="18" xfId="0" applyNumberFormat="1" applyFill="1" applyBorder="1" applyAlignment="1">
      <alignment wrapText="1" shrinkToFit="1"/>
    </xf>
    <xf numFmtId="49" fontId="0" fillId="0" borderId="17" xfId="0" applyNumberFormat="1" applyBorder="1" applyAlignment="1">
      <alignment wrapText="1" shrinkToFit="1"/>
    </xf>
    <xf numFmtId="49" fontId="0" fillId="0" borderId="18" xfId="0" applyNumberFormat="1" applyBorder="1" applyAlignment="1">
      <alignment wrapText="1" shrinkToFit="1"/>
    </xf>
    <xf numFmtId="49" fontId="0" fillId="33" borderId="20" xfId="0" applyNumberFormat="1" applyFill="1" applyBorder="1" applyAlignment="1">
      <alignment wrapText="1" shrinkToFit="1"/>
    </xf>
    <xf numFmtId="49" fontId="3" fillId="0" borderId="13" xfId="0" applyNumberFormat="1" applyFont="1" applyBorder="1" applyAlignment="1">
      <alignment wrapText="1" shrinkToFit="1"/>
    </xf>
    <xf numFmtId="49" fontId="0" fillId="0" borderId="18" xfId="0" applyNumberFormat="1" applyBorder="1" applyAlignment="1">
      <alignment horizontal="left" wrapText="1" shrinkToFit="1"/>
    </xf>
    <xf numFmtId="49" fontId="0" fillId="0" borderId="18" xfId="0" applyNumberFormat="1" applyFont="1" applyBorder="1" applyAlignment="1">
      <alignment horizontal="left" wrapText="1" shrinkToFit="1"/>
    </xf>
    <xf numFmtId="49" fontId="0" fillId="0" borderId="20" xfId="0" applyNumberFormat="1" applyBorder="1" applyAlignment="1">
      <alignment horizontal="left" wrapText="1" shrinkToFit="1"/>
    </xf>
    <xf numFmtId="49" fontId="0" fillId="0" borderId="28" xfId="0" applyNumberFormat="1" applyBorder="1" applyAlignment="1">
      <alignment wrapText="1" shrinkToFit="1"/>
    </xf>
    <xf numFmtId="2" fontId="7" fillId="0" borderId="18" xfId="0" applyNumberFormat="1" applyFont="1" applyBorder="1" applyAlignment="1">
      <alignment/>
    </xf>
    <xf numFmtId="0" fontId="0" fillId="32" borderId="31" xfId="0" applyFill="1" applyBorder="1" applyAlignment="1">
      <alignment shrinkToFit="1"/>
    </xf>
    <xf numFmtId="4" fontId="3" fillId="32" borderId="42" xfId="0" applyNumberFormat="1" applyFont="1" applyFill="1" applyBorder="1" applyAlignment="1">
      <alignment shrinkToFit="1"/>
    </xf>
    <xf numFmtId="0" fontId="0" fillId="32" borderId="43" xfId="0" applyFill="1" applyBorder="1" applyAlignment="1">
      <alignment shrinkToFit="1"/>
    </xf>
    <xf numFmtId="2" fontId="3" fillId="32" borderId="32" xfId="0" applyNumberFormat="1" applyFont="1" applyFill="1" applyBorder="1" applyAlignment="1">
      <alignment wrapText="1" shrinkToFit="1"/>
    </xf>
    <xf numFmtId="2" fontId="0" fillId="32" borderId="32" xfId="0" applyNumberFormat="1" applyFill="1" applyBorder="1" applyAlignment="1">
      <alignment wrapText="1" shrinkToFit="1"/>
    </xf>
    <xf numFmtId="2" fontId="3" fillId="32" borderId="33" xfId="0" applyNumberFormat="1" applyFont="1" applyFill="1" applyBorder="1" applyAlignment="1">
      <alignment wrapText="1" shrinkToFit="1"/>
    </xf>
    <xf numFmtId="2" fontId="3" fillId="32" borderId="42" xfId="0" applyNumberFormat="1" applyFont="1" applyFill="1" applyBorder="1" applyAlignment="1">
      <alignment wrapText="1" shrinkToFit="1"/>
    </xf>
    <xf numFmtId="0" fontId="0" fillId="32" borderId="31" xfId="0" applyFill="1" applyBorder="1" applyAlignment="1">
      <alignment wrapText="1" shrinkToFit="1"/>
    </xf>
    <xf numFmtId="0" fontId="0" fillId="32" borderId="44" xfId="0" applyFont="1" applyFill="1" applyBorder="1" applyAlignment="1">
      <alignment horizontal="center" vertical="center" shrinkToFit="1"/>
    </xf>
    <xf numFmtId="2" fontId="0" fillId="32" borderId="32" xfId="0" applyNumberFormat="1" applyFont="1" applyFill="1" applyBorder="1" applyAlignment="1">
      <alignment wrapText="1" shrinkToFit="1"/>
    </xf>
    <xf numFmtId="4" fontId="0" fillId="32" borderId="32" xfId="0" applyNumberFormat="1" applyFont="1" applyFill="1" applyBorder="1" applyAlignment="1">
      <alignment wrapText="1" shrinkToFit="1"/>
    </xf>
    <xf numFmtId="4" fontId="0" fillId="32" borderId="33" xfId="0" applyNumberFormat="1" applyFont="1" applyFill="1" applyBorder="1" applyAlignment="1">
      <alignment wrapText="1" shrinkToFit="1"/>
    </xf>
    <xf numFmtId="0" fontId="0" fillId="32" borderId="33" xfId="0" applyFont="1" applyFill="1" applyBorder="1" applyAlignment="1">
      <alignment wrapText="1" shrinkToFit="1"/>
    </xf>
    <xf numFmtId="49" fontId="0" fillId="0" borderId="20" xfId="0" applyNumberFormat="1" applyFont="1" applyBorder="1" applyAlignment="1">
      <alignment wrapText="1" shrinkToFit="1"/>
    </xf>
    <xf numFmtId="49" fontId="0" fillId="0" borderId="20" xfId="0" applyNumberFormat="1" applyFont="1" applyBorder="1" applyAlignment="1">
      <alignment shrinkToFit="1"/>
    </xf>
    <xf numFmtId="49" fontId="4" fillId="0" borderId="20" xfId="0" applyNumberFormat="1" applyFont="1" applyBorder="1" applyAlignment="1">
      <alignment shrinkToFit="1"/>
    </xf>
    <xf numFmtId="49" fontId="0" fillId="34" borderId="15" xfId="0" applyNumberFormat="1" applyFill="1" applyBorder="1" applyAlignment="1">
      <alignment shrinkToFit="1"/>
    </xf>
    <xf numFmtId="0" fontId="0" fillId="4" borderId="17" xfId="0" applyFill="1" applyBorder="1" applyAlignment="1">
      <alignment horizontal="center" shrinkToFit="1"/>
    </xf>
    <xf numFmtId="0" fontId="0" fillId="4" borderId="18" xfId="0" applyFill="1" applyBorder="1" applyAlignment="1">
      <alignment horizontal="center" shrinkToFit="1"/>
    </xf>
    <xf numFmtId="0" fontId="3" fillId="4" borderId="14" xfId="0" applyFont="1" applyFill="1" applyBorder="1" applyAlignment="1">
      <alignment horizontal="center" shrinkToFit="1"/>
    </xf>
    <xf numFmtId="0" fontId="0" fillId="4" borderId="20" xfId="0" applyFill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horizontal="center" shrinkToFit="1"/>
    </xf>
    <xf numFmtId="0" fontId="10" fillId="4" borderId="14" xfId="0" applyFont="1" applyFill="1" applyBorder="1" applyAlignment="1">
      <alignment horizontal="center" vertical="center" shrinkToFit="1"/>
    </xf>
    <xf numFmtId="0" fontId="10" fillId="32" borderId="44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shrinkToFit="1"/>
    </xf>
    <xf numFmtId="49" fontId="10" fillId="0" borderId="17" xfId="0" applyNumberFormat="1" applyFont="1" applyBorder="1" applyAlignment="1">
      <alignment shrinkToFit="1"/>
    </xf>
    <xf numFmtId="0" fontId="10" fillId="4" borderId="17" xfId="0" applyFont="1" applyFill="1" applyBorder="1" applyAlignment="1">
      <alignment shrinkToFit="1"/>
    </xf>
    <xf numFmtId="0" fontId="10" fillId="0" borderId="17" xfId="0" applyFont="1" applyBorder="1" applyAlignment="1">
      <alignment/>
    </xf>
    <xf numFmtId="49" fontId="10" fillId="0" borderId="15" xfId="0" applyNumberFormat="1" applyFont="1" applyBorder="1" applyAlignment="1">
      <alignment shrinkToFit="1"/>
    </xf>
    <xf numFmtId="49" fontId="10" fillId="0" borderId="18" xfId="0" applyNumberFormat="1" applyFont="1" applyBorder="1" applyAlignment="1">
      <alignment shrinkToFit="1"/>
    </xf>
    <xf numFmtId="0" fontId="10" fillId="4" borderId="18" xfId="0" applyFont="1" applyFill="1" applyBorder="1" applyAlignment="1">
      <alignment shrinkToFit="1"/>
    </xf>
    <xf numFmtId="0" fontId="10" fillId="0" borderId="18" xfId="0" applyFont="1" applyBorder="1" applyAlignment="1">
      <alignment/>
    </xf>
    <xf numFmtId="49" fontId="10" fillId="33" borderId="18" xfId="0" applyNumberFormat="1" applyFont="1" applyFill="1" applyBorder="1" applyAlignment="1">
      <alignment shrinkToFit="1"/>
    </xf>
    <xf numFmtId="2" fontId="11" fillId="0" borderId="18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9" fontId="10" fillId="33" borderId="18" xfId="0" applyNumberFormat="1" applyFont="1" applyFill="1" applyBorder="1" applyAlignment="1">
      <alignment wrapText="1" shrinkToFit="1"/>
    </xf>
    <xf numFmtId="2" fontId="12" fillId="0" borderId="18" xfId="0" applyNumberFormat="1" applyFont="1" applyBorder="1" applyAlignment="1">
      <alignment/>
    </xf>
    <xf numFmtId="49" fontId="10" fillId="0" borderId="26" xfId="0" applyNumberFormat="1" applyFont="1" applyBorder="1" applyAlignment="1">
      <alignment shrinkToFit="1"/>
    </xf>
    <xf numFmtId="49" fontId="11" fillId="0" borderId="13" xfId="0" applyNumberFormat="1" applyFont="1" applyBorder="1" applyAlignment="1">
      <alignment shrinkToFit="1"/>
    </xf>
    <xf numFmtId="0" fontId="11" fillId="4" borderId="14" xfId="0" applyFont="1" applyFill="1" applyBorder="1" applyAlignment="1">
      <alignment shrinkToFit="1"/>
    </xf>
    <xf numFmtId="2" fontId="11" fillId="0" borderId="41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shrinkToFit="1"/>
    </xf>
    <xf numFmtId="49" fontId="10" fillId="34" borderId="15" xfId="0" applyNumberFormat="1" applyFont="1" applyFill="1" applyBorder="1" applyAlignment="1">
      <alignment shrinkToFit="1"/>
    </xf>
    <xf numFmtId="49" fontId="10" fillId="0" borderId="18" xfId="0" applyNumberFormat="1" applyFont="1" applyBorder="1" applyAlignment="1">
      <alignment horizontal="left" wrapText="1" shrinkToFit="1"/>
    </xf>
    <xf numFmtId="49" fontId="10" fillId="0" borderId="19" xfId="0" applyNumberFormat="1" applyFont="1" applyBorder="1" applyAlignment="1">
      <alignment shrinkToFit="1"/>
    </xf>
    <xf numFmtId="49" fontId="10" fillId="0" borderId="20" xfId="0" applyNumberFormat="1" applyFont="1" applyBorder="1" applyAlignment="1">
      <alignment horizontal="left" shrinkToFit="1"/>
    </xf>
    <xf numFmtId="0" fontId="10" fillId="4" borderId="20" xfId="0" applyFont="1" applyFill="1" applyBorder="1" applyAlignment="1">
      <alignment shrinkToFit="1"/>
    </xf>
    <xf numFmtId="49" fontId="10" fillId="33" borderId="20" xfId="0" applyNumberFormat="1" applyFont="1" applyFill="1" applyBorder="1" applyAlignment="1">
      <alignment shrinkToFit="1"/>
    </xf>
    <xf numFmtId="49" fontId="10" fillId="0" borderId="20" xfId="0" applyNumberFormat="1" applyFont="1" applyBorder="1" applyAlignment="1">
      <alignment wrapText="1" shrinkToFit="1"/>
    </xf>
    <xf numFmtId="49" fontId="10" fillId="0" borderId="20" xfId="0" applyNumberFormat="1" applyFont="1" applyBorder="1" applyAlignment="1">
      <alignment shrinkToFit="1"/>
    </xf>
    <xf numFmtId="49" fontId="13" fillId="0" borderId="20" xfId="0" applyNumberFormat="1" applyFont="1" applyBorder="1" applyAlignment="1">
      <alignment shrinkToFit="1"/>
    </xf>
    <xf numFmtId="2" fontId="10" fillId="0" borderId="20" xfId="0" applyNumberFormat="1" applyFont="1" applyBorder="1" applyAlignment="1">
      <alignment/>
    </xf>
    <xf numFmtId="49" fontId="10" fillId="0" borderId="27" xfId="0" applyNumberFormat="1" applyFont="1" applyBorder="1" applyAlignment="1">
      <alignment shrinkToFit="1"/>
    </xf>
    <xf numFmtId="2" fontId="10" fillId="0" borderId="41" xfId="0" applyNumberFormat="1" applyFont="1" applyBorder="1" applyAlignment="1">
      <alignment/>
    </xf>
    <xf numFmtId="49" fontId="10" fillId="0" borderId="16" xfId="0" applyNumberFormat="1" applyFont="1" applyBorder="1" applyAlignment="1">
      <alignment shrinkToFit="1"/>
    </xf>
    <xf numFmtId="49" fontId="10" fillId="0" borderId="28" xfId="0" applyNumberFormat="1" applyFont="1" applyBorder="1" applyAlignment="1">
      <alignment shrinkToFit="1"/>
    </xf>
    <xf numFmtId="0" fontId="10" fillId="4" borderId="28" xfId="0" applyFont="1" applyFill="1" applyBorder="1" applyAlignment="1">
      <alignment shrinkToFit="1"/>
    </xf>
    <xf numFmtId="0" fontId="10" fillId="0" borderId="41" xfId="0" applyFont="1" applyBorder="1" applyAlignment="1">
      <alignment/>
    </xf>
    <xf numFmtId="4" fontId="10" fillId="0" borderId="0" xfId="0" applyNumberFormat="1" applyFont="1" applyAlignment="1">
      <alignment/>
    </xf>
    <xf numFmtId="0" fontId="10" fillId="4" borderId="13" xfId="0" applyFont="1" applyFill="1" applyBorder="1" applyAlignment="1">
      <alignment horizontal="center" vertical="center" wrapText="1" shrinkToFit="1"/>
    </xf>
    <xf numFmtId="0" fontId="10" fillId="4" borderId="14" xfId="0" applyFont="1" applyFill="1" applyBorder="1" applyAlignment="1">
      <alignment horizontal="center" vertical="center" wrapText="1" shrinkToFit="1"/>
    </xf>
    <xf numFmtId="0" fontId="10" fillId="4" borderId="30" xfId="0" applyFont="1" applyFill="1" applyBorder="1" applyAlignment="1">
      <alignment horizontal="center" vertical="center" wrapText="1" shrinkToFit="1"/>
    </xf>
    <xf numFmtId="0" fontId="10" fillId="32" borderId="34" xfId="0" applyFont="1" applyFill="1" applyBorder="1" applyAlignment="1">
      <alignment horizontal="center" vertical="center" wrapText="1" shrinkToFit="1"/>
    </xf>
    <xf numFmtId="0" fontId="10" fillId="32" borderId="30" xfId="0" applyFont="1" applyFill="1" applyBorder="1" applyAlignment="1">
      <alignment horizontal="center" vertical="center" shrinkToFit="1"/>
    </xf>
    <xf numFmtId="0" fontId="10" fillId="32" borderId="41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shrinkToFit="1"/>
    </xf>
    <xf numFmtId="0" fontId="10" fillId="4" borderId="31" xfId="0" applyFont="1" applyFill="1" applyBorder="1" applyAlignment="1">
      <alignment shrinkToFit="1"/>
    </xf>
    <xf numFmtId="0" fontId="10" fillId="4" borderId="21" xfId="0" applyFont="1" applyFill="1" applyBorder="1" applyAlignment="1">
      <alignment shrinkToFit="1"/>
    </xf>
    <xf numFmtId="0" fontId="10" fillId="32" borderId="35" xfId="0" applyFont="1" applyFill="1" applyBorder="1" applyAlignment="1">
      <alignment shrinkToFit="1"/>
    </xf>
    <xf numFmtId="0" fontId="10" fillId="32" borderId="38" xfId="0" applyFont="1" applyFill="1" applyBorder="1" applyAlignment="1">
      <alignment shrinkToFit="1"/>
    </xf>
    <xf numFmtId="0" fontId="10" fillId="4" borderId="15" xfId="0" applyFont="1" applyFill="1" applyBorder="1" applyAlignment="1">
      <alignment shrinkToFit="1"/>
    </xf>
    <xf numFmtId="0" fontId="10" fillId="4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shrinkToFit="1"/>
    </xf>
    <xf numFmtId="0" fontId="10" fillId="32" borderId="15" xfId="0" applyFont="1" applyFill="1" applyBorder="1" applyAlignment="1">
      <alignment shrinkToFit="1"/>
    </xf>
    <xf numFmtId="0" fontId="10" fillId="32" borderId="32" xfId="0" applyFont="1" applyFill="1" applyBorder="1" applyAlignment="1">
      <alignment shrinkToFit="1"/>
    </xf>
    <xf numFmtId="0" fontId="10" fillId="4" borderId="22" xfId="0" applyFont="1" applyFill="1" applyBorder="1" applyAlignment="1">
      <alignment horizontal="right" shrinkToFit="1"/>
    </xf>
    <xf numFmtId="4" fontId="10" fillId="4" borderId="15" xfId="0" applyNumberFormat="1" applyFont="1" applyFill="1" applyBorder="1" applyAlignment="1">
      <alignment shrinkToFit="1"/>
    </xf>
    <xf numFmtId="4" fontId="10" fillId="4" borderId="18" xfId="0" applyNumberFormat="1" applyFont="1" applyFill="1" applyBorder="1" applyAlignment="1">
      <alignment shrinkToFit="1"/>
    </xf>
    <xf numFmtId="4" fontId="10" fillId="4" borderId="32" xfId="0" applyNumberFormat="1" applyFont="1" applyFill="1" applyBorder="1" applyAlignment="1">
      <alignment shrinkToFit="1"/>
    </xf>
    <xf numFmtId="2" fontId="10" fillId="32" borderId="15" xfId="0" applyNumberFormat="1" applyFont="1" applyFill="1" applyBorder="1" applyAlignment="1">
      <alignment shrinkToFit="1"/>
    </xf>
    <xf numFmtId="2" fontId="11" fillId="32" borderId="32" xfId="0" applyNumberFormat="1" applyFont="1" applyFill="1" applyBorder="1" applyAlignment="1">
      <alignment shrinkToFit="1"/>
    </xf>
    <xf numFmtId="4" fontId="10" fillId="4" borderId="22" xfId="0" applyNumberFormat="1" applyFont="1" applyFill="1" applyBorder="1" applyAlignment="1">
      <alignment shrinkToFit="1"/>
    </xf>
    <xf numFmtId="2" fontId="10" fillId="32" borderId="32" xfId="0" applyNumberFormat="1" applyFont="1" applyFill="1" applyBorder="1" applyAlignment="1">
      <alignment shrinkToFit="1"/>
    </xf>
    <xf numFmtId="2" fontId="10" fillId="4" borderId="15" xfId="0" applyNumberFormat="1" applyFont="1" applyFill="1" applyBorder="1" applyAlignment="1">
      <alignment shrinkToFit="1"/>
    </xf>
    <xf numFmtId="2" fontId="10" fillId="4" borderId="18" xfId="0" applyNumberFormat="1" applyFont="1" applyFill="1" applyBorder="1" applyAlignment="1">
      <alignment shrinkToFit="1"/>
    </xf>
    <xf numFmtId="2" fontId="10" fillId="4" borderId="32" xfId="0" applyNumberFormat="1" applyFont="1" applyFill="1" applyBorder="1" applyAlignment="1">
      <alignment shrinkToFit="1"/>
    </xf>
    <xf numFmtId="2" fontId="10" fillId="4" borderId="22" xfId="0" applyNumberFormat="1" applyFont="1" applyFill="1" applyBorder="1" applyAlignment="1">
      <alignment shrinkToFit="1"/>
    </xf>
    <xf numFmtId="4" fontId="11" fillId="4" borderId="13" xfId="0" applyNumberFormat="1" applyFont="1" applyFill="1" applyBorder="1" applyAlignment="1">
      <alignment shrinkToFit="1"/>
    </xf>
    <xf numFmtId="2" fontId="11" fillId="32" borderId="30" xfId="0" applyNumberFormat="1" applyFont="1" applyFill="1" applyBorder="1" applyAlignment="1">
      <alignment shrinkToFit="1"/>
    </xf>
    <xf numFmtId="0" fontId="10" fillId="4" borderId="35" xfId="0" applyFont="1" applyFill="1" applyBorder="1" applyAlignment="1">
      <alignment shrinkToFit="1"/>
    </xf>
    <xf numFmtId="0" fontId="10" fillId="4" borderId="37" xfId="0" applyFont="1" applyFill="1" applyBorder="1" applyAlignment="1">
      <alignment shrinkToFit="1"/>
    </xf>
    <xf numFmtId="0" fontId="10" fillId="4" borderId="38" xfId="0" applyFont="1" applyFill="1" applyBorder="1" applyAlignment="1">
      <alignment shrinkToFit="1"/>
    </xf>
    <xf numFmtId="0" fontId="10" fillId="4" borderId="36" xfId="0" applyFont="1" applyFill="1" applyBorder="1" applyAlignment="1">
      <alignment shrinkToFit="1"/>
    </xf>
    <xf numFmtId="4" fontId="10" fillId="32" borderId="15" xfId="0" applyNumberFormat="1" applyFont="1" applyFill="1" applyBorder="1" applyAlignment="1">
      <alignment shrinkToFit="1"/>
    </xf>
    <xf numFmtId="4" fontId="11" fillId="32" borderId="32" xfId="0" applyNumberFormat="1" applyFont="1" applyFill="1" applyBorder="1" applyAlignment="1">
      <alignment shrinkToFit="1"/>
    </xf>
    <xf numFmtId="3" fontId="10" fillId="4" borderId="22" xfId="0" applyNumberFormat="1" applyFont="1" applyFill="1" applyBorder="1" applyAlignment="1">
      <alignment shrinkToFit="1"/>
    </xf>
    <xf numFmtId="3" fontId="10" fillId="4" borderId="15" xfId="0" applyNumberFormat="1" applyFont="1" applyFill="1" applyBorder="1" applyAlignment="1">
      <alignment shrinkToFit="1"/>
    </xf>
    <xf numFmtId="4" fontId="13" fillId="4" borderId="15" xfId="0" applyNumberFormat="1" applyFont="1" applyFill="1" applyBorder="1" applyAlignment="1">
      <alignment shrinkToFit="1"/>
    </xf>
    <xf numFmtId="174" fontId="10" fillId="4" borderId="18" xfId="0" applyNumberFormat="1" applyFont="1" applyFill="1" applyBorder="1" applyAlignment="1">
      <alignment shrinkToFit="1"/>
    </xf>
    <xf numFmtId="174" fontId="10" fillId="4" borderId="32" xfId="0" applyNumberFormat="1" applyFont="1" applyFill="1" applyBorder="1" applyAlignment="1">
      <alignment shrinkToFit="1"/>
    </xf>
    <xf numFmtId="0" fontId="10" fillId="4" borderId="19" xfId="0" applyFont="1" applyFill="1" applyBorder="1" applyAlignment="1">
      <alignment shrinkToFit="1"/>
    </xf>
    <xf numFmtId="0" fontId="10" fillId="4" borderId="33" xfId="0" applyFont="1" applyFill="1" applyBorder="1" applyAlignment="1">
      <alignment shrinkToFit="1"/>
    </xf>
    <xf numFmtId="2" fontId="10" fillId="4" borderId="23" xfId="0" applyNumberFormat="1" applyFont="1" applyFill="1" applyBorder="1" applyAlignment="1">
      <alignment shrinkToFit="1"/>
    </xf>
    <xf numFmtId="4" fontId="10" fillId="4" borderId="19" xfId="0" applyNumberFormat="1" applyFont="1" applyFill="1" applyBorder="1" applyAlignment="1">
      <alignment shrinkToFit="1"/>
    </xf>
    <xf numFmtId="2" fontId="10" fillId="4" borderId="20" xfId="0" applyNumberFormat="1" applyFont="1" applyFill="1" applyBorder="1" applyAlignment="1">
      <alignment shrinkToFit="1"/>
    </xf>
    <xf numFmtId="2" fontId="10" fillId="4" borderId="33" xfId="0" applyNumberFormat="1" applyFont="1" applyFill="1" applyBorder="1" applyAlignment="1">
      <alignment shrinkToFit="1"/>
    </xf>
    <xf numFmtId="0" fontId="10" fillId="4" borderId="23" xfId="0" applyFont="1" applyFill="1" applyBorder="1" applyAlignment="1">
      <alignment shrinkToFit="1"/>
    </xf>
    <xf numFmtId="3" fontId="10" fillId="4" borderId="19" xfId="0" applyNumberFormat="1" applyFont="1" applyFill="1" applyBorder="1" applyAlignment="1">
      <alignment shrinkToFit="1"/>
    </xf>
    <xf numFmtId="4" fontId="10" fillId="4" borderId="23" xfId="0" applyNumberFormat="1" applyFont="1" applyFill="1" applyBorder="1" applyAlignment="1">
      <alignment shrinkToFit="1"/>
    </xf>
    <xf numFmtId="2" fontId="10" fillId="4" borderId="19" xfId="0" applyNumberFormat="1" applyFont="1" applyFill="1" applyBorder="1" applyAlignment="1">
      <alignment shrinkToFit="1"/>
    </xf>
    <xf numFmtId="4" fontId="10" fillId="4" borderId="20" xfId="0" applyNumberFormat="1" applyFont="1" applyFill="1" applyBorder="1" applyAlignment="1">
      <alignment shrinkToFit="1"/>
    </xf>
    <xf numFmtId="4" fontId="11" fillId="32" borderId="33" xfId="0" applyNumberFormat="1" applyFont="1" applyFill="1" applyBorder="1" applyAlignment="1">
      <alignment shrinkToFit="1"/>
    </xf>
    <xf numFmtId="4" fontId="10" fillId="4" borderId="33" xfId="0" applyNumberFormat="1" applyFont="1" applyFill="1" applyBorder="1" applyAlignment="1">
      <alignment shrinkToFit="1"/>
    </xf>
    <xf numFmtId="4" fontId="10" fillId="32" borderId="33" xfId="0" applyNumberFormat="1" applyFont="1" applyFill="1" applyBorder="1" applyAlignment="1">
      <alignment shrinkToFit="1"/>
    </xf>
    <xf numFmtId="3" fontId="10" fillId="4" borderId="23" xfId="0" applyNumberFormat="1" applyFont="1" applyFill="1" applyBorder="1" applyAlignment="1">
      <alignment shrinkToFit="1"/>
    </xf>
    <xf numFmtId="0" fontId="10" fillId="4" borderId="16" xfId="0" applyFont="1" applyFill="1" applyBorder="1" applyAlignment="1">
      <alignment shrinkToFit="1"/>
    </xf>
    <xf numFmtId="0" fontId="10" fillId="4" borderId="24" xfId="0" applyFont="1" applyFill="1" applyBorder="1" applyAlignment="1">
      <alignment shrinkToFit="1"/>
    </xf>
    <xf numFmtId="0" fontId="10" fillId="4" borderId="39" xfId="0" applyFont="1" applyFill="1" applyBorder="1" applyAlignment="1">
      <alignment shrinkToFit="1"/>
    </xf>
    <xf numFmtId="0" fontId="10" fillId="4" borderId="25" xfId="0" applyFont="1" applyFill="1" applyBorder="1" applyAlignment="1">
      <alignment shrinkToFit="1"/>
    </xf>
    <xf numFmtId="0" fontId="10" fillId="32" borderId="16" xfId="0" applyFont="1" applyFill="1" applyBorder="1" applyAlignment="1">
      <alignment shrinkToFit="1"/>
    </xf>
    <xf numFmtId="0" fontId="10" fillId="32" borderId="39" xfId="0" applyFont="1" applyFill="1" applyBorder="1" applyAlignment="1">
      <alignment shrinkToFit="1"/>
    </xf>
    <xf numFmtId="4" fontId="11" fillId="4" borderId="14" xfId="0" applyNumberFormat="1" applyFont="1" applyFill="1" applyBorder="1" applyAlignment="1">
      <alignment shrinkToFit="1"/>
    </xf>
    <xf numFmtId="2" fontId="11" fillId="4" borderId="14" xfId="0" applyNumberFormat="1" applyFont="1" applyFill="1" applyBorder="1" applyAlignment="1">
      <alignment shrinkToFit="1"/>
    </xf>
    <xf numFmtId="4" fontId="11" fillId="32" borderId="13" xfId="0" applyNumberFormat="1" applyFont="1" applyFill="1" applyBorder="1" applyAlignment="1">
      <alignment shrinkToFit="1"/>
    </xf>
    <xf numFmtId="4" fontId="11" fillId="32" borderId="30" xfId="0" applyNumberFormat="1" applyFont="1" applyFill="1" applyBorder="1" applyAlignment="1">
      <alignment shrinkToFit="1"/>
    </xf>
    <xf numFmtId="2" fontId="10" fillId="4" borderId="28" xfId="0" applyNumberFormat="1" applyFont="1" applyFill="1" applyBorder="1" applyAlignment="1">
      <alignment shrinkToFit="1"/>
    </xf>
    <xf numFmtId="4" fontId="10" fillId="4" borderId="28" xfId="0" applyNumberFormat="1" applyFont="1" applyFill="1" applyBorder="1" applyAlignment="1">
      <alignment shrinkToFit="1"/>
    </xf>
    <xf numFmtId="0" fontId="10" fillId="32" borderId="28" xfId="0" applyFont="1" applyFill="1" applyBorder="1" applyAlignment="1">
      <alignment shrinkToFit="1"/>
    </xf>
    <xf numFmtId="0" fontId="10" fillId="32" borderId="40" xfId="0" applyFont="1" applyFill="1" applyBorder="1" applyAlignment="1">
      <alignment shrinkToFit="1"/>
    </xf>
    <xf numFmtId="0" fontId="10" fillId="0" borderId="0" xfId="0" applyFont="1" applyAlignment="1">
      <alignment wrapText="1"/>
    </xf>
    <xf numFmtId="0" fontId="14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8" xfId="0" applyFont="1" applyFill="1" applyBorder="1" applyAlignment="1">
      <alignment shrinkToFit="1"/>
    </xf>
    <xf numFmtId="0" fontId="17" fillId="0" borderId="18" xfId="0" applyFont="1" applyFill="1" applyBorder="1" applyAlignment="1">
      <alignment horizont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/>
    </xf>
    <xf numFmtId="49" fontId="18" fillId="0" borderId="18" xfId="0" applyNumberFormat="1" applyFont="1" applyFill="1" applyBorder="1" applyAlignment="1">
      <alignment shrinkToFit="1"/>
    </xf>
    <xf numFmtId="0" fontId="19" fillId="0" borderId="18" xfId="0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/>
    </xf>
    <xf numFmtId="0" fontId="17" fillId="0" borderId="18" xfId="0" applyFont="1" applyFill="1" applyBorder="1" applyAlignment="1">
      <alignment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7" xfId="0" applyFont="1" applyBorder="1" applyAlignment="1">
      <alignment/>
    </xf>
    <xf numFmtId="0" fontId="17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45" xfId="0" applyFont="1" applyFill="1" applyBorder="1" applyAlignment="1">
      <alignment/>
    </xf>
    <xf numFmtId="0" fontId="14" fillId="0" borderId="17" xfId="0" applyFont="1" applyFill="1" applyBorder="1" applyAlignment="1">
      <alignment shrinkToFit="1"/>
    </xf>
    <xf numFmtId="49" fontId="17" fillId="0" borderId="17" xfId="0" applyNumberFormat="1" applyFont="1" applyFill="1" applyBorder="1" applyAlignment="1">
      <alignment shrinkToFit="1"/>
    </xf>
    <xf numFmtId="0" fontId="14" fillId="0" borderId="17" xfId="0" applyFont="1" applyFill="1" applyBorder="1" applyAlignment="1">
      <alignment/>
    </xf>
    <xf numFmtId="49" fontId="14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/>
    </xf>
    <xf numFmtId="2" fontId="14" fillId="0" borderId="18" xfId="0" applyNumberFormat="1" applyFont="1" applyFill="1" applyBorder="1" applyAlignment="1">
      <alignment/>
    </xf>
    <xf numFmtId="49" fontId="14" fillId="0" borderId="17" xfId="0" applyNumberFormat="1" applyFont="1" applyFill="1" applyBorder="1" applyAlignment="1">
      <alignment shrinkToFit="1"/>
    </xf>
    <xf numFmtId="0" fontId="17" fillId="0" borderId="18" xfId="0" applyFont="1" applyBorder="1" applyAlignment="1">
      <alignment/>
    </xf>
    <xf numFmtId="49" fontId="14" fillId="0" borderId="26" xfId="0" applyNumberFormat="1" applyFont="1" applyFill="1" applyBorder="1" applyAlignment="1">
      <alignment shrinkToFit="1"/>
    </xf>
    <xf numFmtId="49" fontId="17" fillId="0" borderId="18" xfId="0" applyNumberFormat="1" applyFont="1" applyFill="1" applyBorder="1" applyAlignment="1">
      <alignment shrinkToFit="1"/>
    </xf>
    <xf numFmtId="2" fontId="17" fillId="0" borderId="18" xfId="0" applyNumberFormat="1" applyFont="1" applyFill="1" applyBorder="1" applyAlignment="1">
      <alignment shrinkToFit="1"/>
    </xf>
    <xf numFmtId="49" fontId="17" fillId="0" borderId="15" xfId="0" applyNumberFormat="1" applyFont="1" applyFill="1" applyBorder="1" applyAlignment="1">
      <alignment shrinkToFit="1"/>
    </xf>
    <xf numFmtId="49" fontId="14" fillId="0" borderId="18" xfId="0" applyNumberFormat="1" applyFont="1" applyFill="1" applyBorder="1" applyAlignment="1">
      <alignment horizontal="left" shrinkToFit="1"/>
    </xf>
    <xf numFmtId="49" fontId="14" fillId="0" borderId="19" xfId="0" applyNumberFormat="1" applyFont="1" applyFill="1" applyBorder="1" applyAlignment="1">
      <alignment shrinkToFit="1"/>
    </xf>
    <xf numFmtId="49" fontId="14" fillId="0" borderId="20" xfId="0" applyNumberFormat="1" applyFont="1" applyFill="1" applyBorder="1" applyAlignment="1">
      <alignment horizontal="left" shrinkToFit="1"/>
    </xf>
    <xf numFmtId="49" fontId="17" fillId="0" borderId="20" xfId="0" applyNumberFormat="1" applyFont="1" applyFill="1" applyBorder="1" applyAlignment="1">
      <alignment horizontal="left" shrinkToFit="1"/>
    </xf>
    <xf numFmtId="49" fontId="17" fillId="0" borderId="18" xfId="0" applyNumberFormat="1" applyFont="1" applyFill="1" applyBorder="1" applyAlignment="1">
      <alignment horizontal="left" shrinkToFit="1"/>
    </xf>
    <xf numFmtId="0" fontId="14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21" fillId="0" borderId="18" xfId="0" applyNumberFormat="1" applyFont="1" applyFill="1" applyBorder="1" applyAlignment="1">
      <alignment/>
    </xf>
    <xf numFmtId="49" fontId="22" fillId="0" borderId="46" xfId="0" applyNumberFormat="1" applyFont="1" applyFill="1" applyBorder="1" applyAlignment="1">
      <alignment shrinkToFit="1"/>
    </xf>
    <xf numFmtId="2" fontId="17" fillId="0" borderId="0" xfId="0" applyNumberFormat="1" applyFont="1" applyFill="1" applyBorder="1" applyAlignment="1">
      <alignment shrinkToFit="1"/>
    </xf>
    <xf numFmtId="49" fontId="22" fillId="0" borderId="18" xfId="0" applyNumberFormat="1" applyFont="1" applyFill="1" applyBorder="1" applyAlignment="1">
      <alignment shrinkToFit="1"/>
    </xf>
    <xf numFmtId="49" fontId="14" fillId="0" borderId="47" xfId="0" applyNumberFormat="1" applyFont="1" applyFill="1" applyBorder="1" applyAlignment="1">
      <alignment shrinkToFit="1"/>
    </xf>
    <xf numFmtId="2" fontId="14" fillId="0" borderId="2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1" fontId="17" fillId="0" borderId="18" xfId="0" applyNumberFormat="1" applyFont="1" applyBorder="1" applyAlignment="1">
      <alignment/>
    </xf>
    <xf numFmtId="49" fontId="14" fillId="0" borderId="20" xfId="0" applyNumberFormat="1" applyFont="1" applyFill="1" applyBorder="1" applyAlignment="1">
      <alignment horizontal="left" wrapText="1" shrinkToFit="1"/>
    </xf>
    <xf numFmtId="2" fontId="14" fillId="0" borderId="0" xfId="0" applyNumberFormat="1" applyFont="1" applyAlignment="1">
      <alignment/>
    </xf>
    <xf numFmtId="0" fontId="17" fillId="0" borderId="46" xfId="0" applyFont="1" applyFill="1" applyBorder="1" applyAlignment="1">
      <alignment/>
    </xf>
    <xf numFmtId="49" fontId="14" fillId="0" borderId="20" xfId="0" applyNumberFormat="1" applyFont="1" applyFill="1" applyBorder="1" applyAlignment="1">
      <alignment horizontal="left" vertical="top" shrinkToFit="1"/>
    </xf>
    <xf numFmtId="0" fontId="17" fillId="0" borderId="20" xfId="0" applyFont="1" applyBorder="1" applyAlignment="1">
      <alignment horizontal="right" vertical="top"/>
    </xf>
    <xf numFmtId="0" fontId="17" fillId="0" borderId="18" xfId="0" applyFont="1" applyBorder="1" applyAlignment="1">
      <alignment vertical="top"/>
    </xf>
    <xf numFmtId="0" fontId="17" fillId="0" borderId="20" xfId="0" applyFont="1" applyBorder="1" applyAlignment="1">
      <alignment/>
    </xf>
    <xf numFmtId="49" fontId="14" fillId="0" borderId="17" xfId="0" applyNumberFormat="1" applyFont="1" applyFill="1" applyBorder="1" applyAlignment="1">
      <alignment horizontal="left" wrapText="1" shrinkToFit="1"/>
    </xf>
    <xf numFmtId="2" fontId="14" fillId="0" borderId="17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" fontId="17" fillId="0" borderId="32" xfId="0" applyNumberFormat="1" applyFont="1" applyFill="1" applyBorder="1" applyAlignment="1">
      <alignment shrinkToFit="1"/>
    </xf>
    <xf numFmtId="1" fontId="17" fillId="0" borderId="11" xfId="0" applyNumberFormat="1" applyFont="1" applyFill="1" applyBorder="1" applyAlignment="1">
      <alignment/>
    </xf>
    <xf numFmtId="1" fontId="17" fillId="0" borderId="18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 horizontal="left" wrapText="1" shrinkToFit="1"/>
    </xf>
    <xf numFmtId="1" fontId="14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justify" wrapText="1"/>
    </xf>
    <xf numFmtId="0" fontId="10" fillId="0" borderId="43" xfId="0" applyFont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0" fillId="0" borderId="43" xfId="0" applyBorder="1" applyAlignment="1">
      <alignment horizontal="right" vertical="justify" wrapText="1"/>
    </xf>
    <xf numFmtId="4" fontId="0" fillId="32" borderId="20" xfId="0" applyNumberFormat="1" applyFont="1" applyFill="1" applyBorder="1" applyAlignment="1">
      <alignment wrapText="1" shrinkToFit="1"/>
    </xf>
    <xf numFmtId="4" fontId="0" fillId="32" borderId="17" xfId="0" applyNumberFormat="1" applyFont="1" applyFill="1" applyBorder="1" applyAlignment="1">
      <alignment wrapText="1" shrinkToFit="1"/>
    </xf>
    <xf numFmtId="0" fontId="0" fillId="0" borderId="0" xfId="0" applyAlignment="1">
      <alignment wrapText="1"/>
    </xf>
    <xf numFmtId="2" fontId="0" fillId="32" borderId="20" xfId="0" applyNumberFormat="1" applyFont="1" applyFill="1" applyBorder="1" applyAlignment="1">
      <alignment wrapText="1" shrinkToFit="1"/>
    </xf>
    <xf numFmtId="0" fontId="0" fillId="0" borderId="48" xfId="0" applyFont="1" applyBorder="1" applyAlignment="1">
      <alignment wrapText="1" shrinkToFit="1"/>
    </xf>
    <xf numFmtId="0" fontId="0" fillId="0" borderId="17" xfId="0" applyFont="1" applyBorder="1" applyAlignment="1">
      <alignment wrapText="1" shrinkToFit="1"/>
    </xf>
    <xf numFmtId="2" fontId="0" fillId="32" borderId="20" xfId="0" applyNumberFormat="1" applyFont="1" applyFill="1" applyBorder="1" applyAlignment="1">
      <alignment horizontal="center" vertical="center" wrapText="1" shrinkToFit="1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5"/>
  <sheetViews>
    <sheetView zoomScalePageLayoutView="0" workbookViewId="0" topLeftCell="A7">
      <pane ySplit="5" topLeftCell="A84" activePane="bottomLeft" state="frozen"/>
      <selection pane="topLeft" activeCell="A7" sqref="A7"/>
      <selection pane="bottomLeft" activeCell="R30" sqref="R30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7.25390625" style="0" customWidth="1"/>
    <col min="4" max="4" width="13.00390625" style="0" customWidth="1"/>
    <col min="5" max="5" width="10.625" style="0" hidden="1" customWidth="1"/>
    <col min="6" max="6" width="0.12890625" style="0" hidden="1" customWidth="1"/>
    <col min="7" max="7" width="9.75390625" style="0" hidden="1" customWidth="1"/>
    <col min="8" max="8" width="10.25390625" style="0" hidden="1" customWidth="1"/>
    <col min="9" max="9" width="11.375" style="0" hidden="1" customWidth="1"/>
    <col min="10" max="10" width="10.25390625" style="0" hidden="1" customWidth="1"/>
    <col min="11" max="11" width="9.25390625" style="0" hidden="1" customWidth="1"/>
    <col min="12" max="12" width="9.75390625" style="0" hidden="1" customWidth="1"/>
    <col min="13" max="13" width="10.25390625" style="0" hidden="1" customWidth="1"/>
    <col min="14" max="15" width="11.00390625" style="0" hidden="1" customWidth="1"/>
    <col min="16" max="16" width="10.00390625" style="0" hidden="1" customWidth="1"/>
    <col min="17" max="17" width="12.875" style="0" customWidth="1"/>
    <col min="18" max="19" width="12.75390625" style="0" customWidth="1"/>
  </cols>
  <sheetData>
    <row r="1" spans="6:17" ht="12.75">
      <c r="F1" s="1" t="s">
        <v>0</v>
      </c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spans="6:17" ht="12.75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6:17" ht="12.75"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"/>
    </row>
    <row r="4" spans="6:17" ht="12.7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ht="12.75">
      <c r="F5" t="s">
        <v>2</v>
      </c>
    </row>
    <row r="7" spans="1:19" ht="18.75" customHeight="1">
      <c r="A7" s="140"/>
      <c r="B7" s="140" t="s">
        <v>109</v>
      </c>
      <c r="C7" s="319" t="s">
        <v>150</v>
      </c>
      <c r="D7" s="319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</row>
    <row r="8" spans="1:19" ht="14.25">
      <c r="A8" s="140"/>
      <c r="B8" s="140" t="s">
        <v>3</v>
      </c>
      <c r="C8" s="319"/>
      <c r="D8" s="319"/>
      <c r="E8" s="140"/>
      <c r="F8" s="140"/>
      <c r="G8" s="140"/>
      <c r="H8" s="140"/>
      <c r="I8" s="140"/>
      <c r="J8" s="140"/>
      <c r="K8" s="140"/>
      <c r="L8" s="140"/>
      <c r="M8" s="140"/>
      <c r="N8" s="179"/>
      <c r="O8" s="140"/>
      <c r="P8" s="140"/>
      <c r="Q8" s="140"/>
      <c r="R8" s="140"/>
      <c r="S8" s="140"/>
    </row>
    <row r="9" spans="1:19" ht="14.25">
      <c r="A9" s="140"/>
      <c r="B9" s="140"/>
      <c r="C9" s="319"/>
      <c r="D9" s="319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</row>
    <row r="10" spans="1:19" ht="15" thickBot="1">
      <c r="A10" s="140" t="s">
        <v>113</v>
      </c>
      <c r="B10" s="140"/>
      <c r="C10" s="320"/>
      <c r="D10" s="32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</row>
    <row r="11" spans="1:19" ht="49.5" customHeight="1" thickBot="1">
      <c r="A11" s="141" t="s">
        <v>5</v>
      </c>
      <c r="B11" s="142" t="s">
        <v>6</v>
      </c>
      <c r="C11" s="143" t="s">
        <v>7</v>
      </c>
      <c r="D11" s="144" t="s">
        <v>90</v>
      </c>
      <c r="E11" s="180" t="s">
        <v>114</v>
      </c>
      <c r="F11" s="181" t="s">
        <v>125</v>
      </c>
      <c r="G11" s="181" t="s">
        <v>127</v>
      </c>
      <c r="H11" s="182" t="s">
        <v>128</v>
      </c>
      <c r="I11" s="182" t="s">
        <v>129</v>
      </c>
      <c r="J11" s="182" t="s">
        <v>130</v>
      </c>
      <c r="K11" s="182" t="s">
        <v>131</v>
      </c>
      <c r="L11" s="182" t="s">
        <v>132</v>
      </c>
      <c r="M11" s="182" t="s">
        <v>133</v>
      </c>
      <c r="N11" s="182" t="s">
        <v>146</v>
      </c>
      <c r="O11" s="182" t="s">
        <v>147</v>
      </c>
      <c r="P11" s="181" t="s">
        <v>148</v>
      </c>
      <c r="Q11" s="183" t="s">
        <v>149</v>
      </c>
      <c r="R11" s="184" t="s">
        <v>11</v>
      </c>
      <c r="S11" s="185" t="s">
        <v>90</v>
      </c>
    </row>
    <row r="12" spans="1:19" ht="14.25">
      <c r="A12" s="145">
        <v>1</v>
      </c>
      <c r="B12" s="146" t="s">
        <v>16</v>
      </c>
      <c r="C12" s="147"/>
      <c r="D12" s="148"/>
      <c r="E12" s="186"/>
      <c r="F12" s="147"/>
      <c r="G12" s="147"/>
      <c r="H12" s="187"/>
      <c r="I12" s="187"/>
      <c r="J12" s="187"/>
      <c r="K12" s="187"/>
      <c r="L12" s="187"/>
      <c r="M12" s="187"/>
      <c r="N12" s="187"/>
      <c r="O12" s="187"/>
      <c r="P12" s="188"/>
      <c r="Q12" s="189"/>
      <c r="R12" s="190"/>
      <c r="S12" s="148"/>
    </row>
    <row r="13" spans="1:19" ht="14.25">
      <c r="A13" s="149" t="s">
        <v>13</v>
      </c>
      <c r="B13" s="150" t="s">
        <v>17</v>
      </c>
      <c r="C13" s="151" t="s">
        <v>20</v>
      </c>
      <c r="D13" s="152">
        <v>18858</v>
      </c>
      <c r="E13" s="191"/>
      <c r="F13" s="151"/>
      <c r="G13" s="151"/>
      <c r="H13" s="192"/>
      <c r="I13" s="192"/>
      <c r="J13" s="192"/>
      <c r="K13" s="192"/>
      <c r="L13" s="192"/>
      <c r="M13" s="192"/>
      <c r="N13" s="192"/>
      <c r="O13" s="192"/>
      <c r="P13" s="193"/>
      <c r="Q13" s="194"/>
      <c r="R13" s="195"/>
      <c r="S13" s="152">
        <v>18858</v>
      </c>
    </row>
    <row r="14" spans="1:19" ht="14.25">
      <c r="A14" s="149" t="s">
        <v>14</v>
      </c>
      <c r="B14" s="150" t="s">
        <v>18</v>
      </c>
      <c r="C14" s="151" t="s">
        <v>20</v>
      </c>
      <c r="D14" s="152">
        <v>1019</v>
      </c>
      <c r="E14" s="191"/>
      <c r="F14" s="151"/>
      <c r="G14" s="151"/>
      <c r="H14" s="192"/>
      <c r="I14" s="192"/>
      <c r="J14" s="192"/>
      <c r="K14" s="192"/>
      <c r="L14" s="192"/>
      <c r="M14" s="192"/>
      <c r="N14" s="192"/>
      <c r="O14" s="192"/>
      <c r="P14" s="193"/>
      <c r="Q14" s="194"/>
      <c r="R14" s="195"/>
      <c r="S14" s="152">
        <v>1019</v>
      </c>
    </row>
    <row r="15" spans="1:19" ht="14.25">
      <c r="A15" s="149" t="s">
        <v>15</v>
      </c>
      <c r="B15" s="150" t="s">
        <v>19</v>
      </c>
      <c r="C15" s="151" t="s">
        <v>21</v>
      </c>
      <c r="D15" s="152">
        <v>546</v>
      </c>
      <c r="E15" s="191"/>
      <c r="F15" s="151"/>
      <c r="G15" s="151"/>
      <c r="H15" s="192"/>
      <c r="I15" s="192"/>
      <c r="J15" s="192"/>
      <c r="K15" s="192"/>
      <c r="L15" s="192"/>
      <c r="M15" s="192"/>
      <c r="N15" s="192"/>
      <c r="O15" s="192"/>
      <c r="P15" s="193"/>
      <c r="Q15" s="194"/>
      <c r="R15" s="195"/>
      <c r="S15" s="152">
        <v>546</v>
      </c>
    </row>
    <row r="16" spans="1:19" ht="14.25">
      <c r="A16" s="149"/>
      <c r="B16" s="150"/>
      <c r="C16" s="151"/>
      <c r="D16" s="152"/>
      <c r="E16" s="191"/>
      <c r="F16" s="151"/>
      <c r="G16" s="151"/>
      <c r="H16" s="192"/>
      <c r="I16" s="192"/>
      <c r="J16" s="192"/>
      <c r="K16" s="192"/>
      <c r="L16" s="192"/>
      <c r="M16" s="192"/>
      <c r="N16" s="192"/>
      <c r="O16" s="192"/>
      <c r="P16" s="196"/>
      <c r="Q16" s="194"/>
      <c r="R16" s="195"/>
      <c r="S16" s="152"/>
    </row>
    <row r="17" spans="1:19" ht="14.25">
      <c r="A17" s="149" t="s">
        <v>22</v>
      </c>
      <c r="B17" s="150" t="s">
        <v>24</v>
      </c>
      <c r="C17" s="151"/>
      <c r="D17" s="152"/>
      <c r="E17" s="191"/>
      <c r="F17" s="151"/>
      <c r="G17" s="151"/>
      <c r="H17" s="192"/>
      <c r="I17" s="192"/>
      <c r="J17" s="192"/>
      <c r="K17" s="192"/>
      <c r="L17" s="192"/>
      <c r="M17" s="192"/>
      <c r="N17" s="192"/>
      <c r="O17" s="192"/>
      <c r="P17" s="193"/>
      <c r="Q17" s="194"/>
      <c r="R17" s="195"/>
      <c r="S17" s="152"/>
    </row>
    <row r="18" spans="1:19" ht="14.25">
      <c r="A18" s="149" t="s">
        <v>23</v>
      </c>
      <c r="B18" s="153" t="s">
        <v>25</v>
      </c>
      <c r="C18" s="151" t="s">
        <v>42</v>
      </c>
      <c r="D18" s="154">
        <f>SUM(D19:D19)</f>
        <v>4038000</v>
      </c>
      <c r="E18" s="197">
        <f>SUM(E19:E19)</f>
        <v>176597.36</v>
      </c>
      <c r="F18" s="198">
        <f>SUM(F19:F19)</f>
        <v>284001.92</v>
      </c>
      <c r="G18" s="198">
        <f>SUM(G19:G19)</f>
        <v>182140.33</v>
      </c>
      <c r="H18" s="199">
        <f aca="true" t="shared" si="0" ref="H18:P18">H19</f>
        <v>266613.64</v>
      </c>
      <c r="I18" s="199">
        <f t="shared" si="0"/>
        <v>382821.03</v>
      </c>
      <c r="J18" s="199">
        <f t="shared" si="0"/>
        <v>352107.47</v>
      </c>
      <c r="K18" s="199">
        <f t="shared" si="0"/>
        <v>298070.71</v>
      </c>
      <c r="L18" s="199">
        <f t="shared" si="0"/>
        <v>298078.58</v>
      </c>
      <c r="M18" s="199">
        <f t="shared" si="0"/>
        <v>427645.28</v>
      </c>
      <c r="N18" s="199">
        <f t="shared" si="0"/>
        <v>361291.1</v>
      </c>
      <c r="O18" s="199">
        <f t="shared" si="0"/>
        <v>347546.57</v>
      </c>
      <c r="P18" s="199">
        <f t="shared" si="0"/>
        <v>572441.28</v>
      </c>
      <c r="Q18" s="200">
        <f>SUM(E18:P18)</f>
        <v>3949355.2700000005</v>
      </c>
      <c r="R18" s="201">
        <f>SUM(Q18-D18)</f>
        <v>-88644.72999999952</v>
      </c>
      <c r="S18" s="155">
        <f>SUM(S19:S19)</f>
        <v>4038000</v>
      </c>
    </row>
    <row r="19" spans="1:19" ht="14.25">
      <c r="A19" s="149"/>
      <c r="B19" s="150" t="s">
        <v>26</v>
      </c>
      <c r="C19" s="151" t="s">
        <v>42</v>
      </c>
      <c r="D19" s="155">
        <v>4038000</v>
      </c>
      <c r="E19" s="197">
        <v>176597.36</v>
      </c>
      <c r="F19" s="198">
        <v>284001.92</v>
      </c>
      <c r="G19" s="198">
        <v>182140.33</v>
      </c>
      <c r="H19" s="199">
        <v>266613.64</v>
      </c>
      <c r="I19" s="199">
        <v>382821.03</v>
      </c>
      <c r="J19" s="199">
        <v>352107.47</v>
      </c>
      <c r="K19" s="199">
        <v>298070.71</v>
      </c>
      <c r="L19" s="199">
        <v>298078.58</v>
      </c>
      <c r="M19" s="199">
        <v>427645.28</v>
      </c>
      <c r="N19" s="199">
        <v>361291.1</v>
      </c>
      <c r="O19" s="199">
        <v>347546.57</v>
      </c>
      <c r="P19" s="202">
        <v>572441.28</v>
      </c>
      <c r="Q19" s="200">
        <f aca="true" t="shared" si="1" ref="Q19:Q29">SUM(E19:P19)</f>
        <v>3949355.2700000005</v>
      </c>
      <c r="R19" s="203">
        <f>SUM(Q19-D19)</f>
        <v>-88644.72999999952</v>
      </c>
      <c r="S19" s="155">
        <v>4038000</v>
      </c>
    </row>
    <row r="20" spans="1:19" ht="12.75" customHeight="1">
      <c r="A20" s="149"/>
      <c r="B20" s="150"/>
      <c r="C20" s="151"/>
      <c r="D20" s="152"/>
      <c r="E20" s="191"/>
      <c r="F20" s="151"/>
      <c r="G20" s="151"/>
      <c r="H20" s="192"/>
      <c r="I20" s="192"/>
      <c r="J20" s="192"/>
      <c r="K20" s="192"/>
      <c r="L20" s="192"/>
      <c r="M20" s="192"/>
      <c r="N20" s="192"/>
      <c r="O20" s="192"/>
      <c r="P20" s="193"/>
      <c r="Q20" s="200">
        <f t="shared" si="1"/>
        <v>0</v>
      </c>
      <c r="R20" s="203"/>
      <c r="S20" s="152"/>
    </row>
    <row r="21" spans="1:19" ht="16.5" customHeight="1">
      <c r="A21" s="149" t="s">
        <v>27</v>
      </c>
      <c r="B21" s="153" t="s">
        <v>28</v>
      </c>
      <c r="C21" s="151" t="s">
        <v>42</v>
      </c>
      <c r="D21" s="154">
        <f>SUM(D22:D26)</f>
        <v>6350000</v>
      </c>
      <c r="E21" s="204">
        <f>SUM(E22:E26)</f>
        <v>345696.56000000006</v>
      </c>
      <c r="F21" s="205">
        <f>SUM(F22:F26)</f>
        <v>435339.67000000004</v>
      </c>
      <c r="G21" s="205">
        <f>SUM(G22:G26)</f>
        <v>760266.65</v>
      </c>
      <c r="H21" s="205">
        <f aca="true" t="shared" si="2" ref="H21:P21">SUM(H22:H26)</f>
        <v>823969.17</v>
      </c>
      <c r="I21" s="205">
        <f t="shared" si="2"/>
        <v>629112.6</v>
      </c>
      <c r="J21" s="205">
        <f t="shared" si="2"/>
        <v>501564.91000000003</v>
      </c>
      <c r="K21" s="205">
        <f t="shared" si="2"/>
        <v>268812.45999999996</v>
      </c>
      <c r="L21" s="205">
        <f t="shared" si="2"/>
        <v>298933.64</v>
      </c>
      <c r="M21" s="205">
        <f t="shared" si="2"/>
        <v>253638.15</v>
      </c>
      <c r="N21" s="205">
        <f t="shared" si="2"/>
        <v>444266.07999999996</v>
      </c>
      <c r="O21" s="205">
        <f t="shared" si="2"/>
        <v>585685.3300000001</v>
      </c>
      <c r="P21" s="205">
        <f t="shared" si="2"/>
        <v>1012933.32</v>
      </c>
      <c r="Q21" s="200">
        <f t="shared" si="1"/>
        <v>6360218.540000001</v>
      </c>
      <c r="R21" s="201">
        <f aca="true" t="shared" si="3" ref="R21:R26">SUM(Q21-D21)</f>
        <v>10218.540000000969</v>
      </c>
      <c r="S21" s="154">
        <f>SUM(S22:S26)</f>
        <v>6350000</v>
      </c>
    </row>
    <row r="22" spans="1:19" ht="14.25">
      <c r="A22" s="149"/>
      <c r="B22" s="150" t="s">
        <v>29</v>
      </c>
      <c r="C22" s="151" t="s">
        <v>42</v>
      </c>
      <c r="D22" s="155">
        <v>500000</v>
      </c>
      <c r="E22" s="191">
        <v>16674.24</v>
      </c>
      <c r="F22" s="151">
        <v>21830.77</v>
      </c>
      <c r="G22" s="205">
        <v>34488.99</v>
      </c>
      <c r="H22" s="206">
        <v>43133.5</v>
      </c>
      <c r="I22" s="206">
        <v>35195.47</v>
      </c>
      <c r="J22" s="206">
        <v>36460.43</v>
      </c>
      <c r="K22" s="206">
        <v>37688.39</v>
      </c>
      <c r="L22" s="206">
        <v>36569.06</v>
      </c>
      <c r="M22" s="206">
        <v>34959.76</v>
      </c>
      <c r="N22" s="206">
        <v>38901.31</v>
      </c>
      <c r="O22" s="206">
        <v>37016.96</v>
      </c>
      <c r="P22" s="207">
        <v>58709.2</v>
      </c>
      <c r="Q22" s="200">
        <f t="shared" si="1"/>
        <v>431628.08</v>
      </c>
      <c r="R22" s="203">
        <f t="shared" si="3"/>
        <v>-68371.91999999998</v>
      </c>
      <c r="S22" s="155">
        <v>500000</v>
      </c>
    </row>
    <row r="23" spans="1:19" ht="14.25">
      <c r="A23" s="149"/>
      <c r="B23" s="150" t="s">
        <v>30</v>
      </c>
      <c r="C23" s="151" t="s">
        <v>42</v>
      </c>
      <c r="D23" s="155">
        <v>400000</v>
      </c>
      <c r="E23" s="191">
        <v>16422.47</v>
      </c>
      <c r="F23" s="151">
        <v>22902.17</v>
      </c>
      <c r="G23" s="151">
        <v>33245.13</v>
      </c>
      <c r="H23" s="192">
        <v>39790.77</v>
      </c>
      <c r="I23" s="192">
        <v>34250.3</v>
      </c>
      <c r="J23" s="192">
        <v>35173.37</v>
      </c>
      <c r="K23" s="192">
        <v>34974.94</v>
      </c>
      <c r="L23" s="192">
        <v>30187.8</v>
      </c>
      <c r="M23" s="192">
        <v>30890.74</v>
      </c>
      <c r="N23" s="192">
        <v>35368.01</v>
      </c>
      <c r="O23" s="192">
        <v>32855.55</v>
      </c>
      <c r="P23" s="193">
        <v>54028.92</v>
      </c>
      <c r="Q23" s="200">
        <f t="shared" si="1"/>
        <v>400090.1699999999</v>
      </c>
      <c r="R23" s="203">
        <f t="shared" si="3"/>
        <v>90.1699999999255</v>
      </c>
      <c r="S23" s="155">
        <v>400000</v>
      </c>
    </row>
    <row r="24" spans="1:19" ht="14.25">
      <c r="A24" s="149"/>
      <c r="B24" s="150" t="s">
        <v>31</v>
      </c>
      <c r="C24" s="151" t="s">
        <v>42</v>
      </c>
      <c r="D24" s="155">
        <v>1000000</v>
      </c>
      <c r="E24" s="204">
        <v>44012.33</v>
      </c>
      <c r="F24" s="151">
        <v>63740.91</v>
      </c>
      <c r="G24" s="151">
        <v>97667.13</v>
      </c>
      <c r="H24" s="192">
        <v>106306.5</v>
      </c>
      <c r="I24" s="192">
        <v>94249.7</v>
      </c>
      <c r="J24" s="192">
        <v>97635.44</v>
      </c>
      <c r="K24" s="192">
        <v>92695.15</v>
      </c>
      <c r="L24" s="192">
        <v>67545.98</v>
      </c>
      <c r="M24" s="192">
        <v>76670.15</v>
      </c>
      <c r="N24" s="192">
        <v>90815.63</v>
      </c>
      <c r="O24" s="192">
        <v>81676.32</v>
      </c>
      <c r="P24" s="207">
        <v>141367.2</v>
      </c>
      <c r="Q24" s="200">
        <f t="shared" si="1"/>
        <v>1054382.44</v>
      </c>
      <c r="R24" s="203">
        <f t="shared" si="3"/>
        <v>54382.439999999944</v>
      </c>
      <c r="S24" s="155">
        <v>1000000</v>
      </c>
    </row>
    <row r="25" spans="1:19" ht="14.25">
      <c r="A25" s="149"/>
      <c r="B25" s="150" t="s">
        <v>32</v>
      </c>
      <c r="C25" s="151" t="s">
        <v>42</v>
      </c>
      <c r="D25" s="155">
        <v>2700000</v>
      </c>
      <c r="E25" s="191">
        <v>218632.5</v>
      </c>
      <c r="F25" s="205">
        <v>256586.1</v>
      </c>
      <c r="G25" s="151">
        <v>488133.3</v>
      </c>
      <c r="H25" s="192">
        <v>498627.9</v>
      </c>
      <c r="I25" s="192">
        <v>372591.1</v>
      </c>
      <c r="J25" s="192">
        <v>236673.7</v>
      </c>
      <c r="K25" s="192">
        <v>26038.99</v>
      </c>
      <c r="L25" s="192">
        <v>75331.65</v>
      </c>
      <c r="M25" s="192">
        <v>33060.81</v>
      </c>
      <c r="N25" s="192">
        <v>190859.9</v>
      </c>
      <c r="O25" s="192">
        <v>331153.7</v>
      </c>
      <c r="P25" s="207">
        <v>593424.6</v>
      </c>
      <c r="Q25" s="200">
        <f t="shared" si="1"/>
        <v>3321114.25</v>
      </c>
      <c r="R25" s="203">
        <f t="shared" si="3"/>
        <v>621114.25</v>
      </c>
      <c r="S25" s="155">
        <v>2700000</v>
      </c>
    </row>
    <row r="26" spans="1:19" ht="14.25">
      <c r="A26" s="149"/>
      <c r="B26" s="150" t="s">
        <v>39</v>
      </c>
      <c r="C26" s="151" t="s">
        <v>42</v>
      </c>
      <c r="D26" s="155">
        <v>1750000</v>
      </c>
      <c r="E26" s="191">
        <v>49955.02</v>
      </c>
      <c r="F26" s="151">
        <v>70279.72</v>
      </c>
      <c r="G26" s="151">
        <v>106732.1</v>
      </c>
      <c r="H26" s="192">
        <v>136110.5</v>
      </c>
      <c r="I26" s="192">
        <v>92826.03</v>
      </c>
      <c r="J26" s="192">
        <v>95621.97</v>
      </c>
      <c r="K26" s="192">
        <v>77414.99</v>
      </c>
      <c r="L26" s="192">
        <v>89299.15</v>
      </c>
      <c r="M26" s="192">
        <v>78056.69</v>
      </c>
      <c r="N26" s="192">
        <v>88321.23</v>
      </c>
      <c r="O26" s="192">
        <v>102982.8</v>
      </c>
      <c r="P26" s="207">
        <v>165403.4</v>
      </c>
      <c r="Q26" s="200">
        <f t="shared" si="1"/>
        <v>1153003.5999999999</v>
      </c>
      <c r="R26" s="203">
        <f t="shared" si="3"/>
        <v>-596996.4000000001</v>
      </c>
      <c r="S26" s="155">
        <v>1750000</v>
      </c>
    </row>
    <row r="27" spans="1:19" ht="28.5">
      <c r="A27" s="149" t="s">
        <v>33</v>
      </c>
      <c r="B27" s="156" t="s">
        <v>92</v>
      </c>
      <c r="C27" s="151" t="s">
        <v>42</v>
      </c>
      <c r="D27" s="154">
        <v>750000</v>
      </c>
      <c r="E27" s="197">
        <f>2724.99+4775.82+3769.93+1800</f>
        <v>13070.74</v>
      </c>
      <c r="F27" s="151">
        <f>7694.7+6094.64+2117.37+7385</f>
        <v>23291.71</v>
      </c>
      <c r="G27" s="151"/>
      <c r="H27" s="192">
        <f>5183.62+5183.62+13594.06+12020.3+10417.41+7150.49+8163.97+2230+2840+12670+4190.77+3872.38</f>
        <v>87516.62000000001</v>
      </c>
      <c r="I27" s="192">
        <f>5183.62+6503.44+342.95+33163.12+6087.87</f>
        <v>51281.00000000001</v>
      </c>
      <c r="J27" s="192">
        <f>900+5183.62+14117.6+6487.5+3387.53+5344</f>
        <v>35420.25</v>
      </c>
      <c r="K27" s="192">
        <f>8290.78+10367.24+14114.76+5501.71+8290.78+4538.67</f>
        <v>51103.939999999995</v>
      </c>
      <c r="L27" s="192">
        <f>9530.13+1500+5382.76+4704.05+13571.03+10367.24</f>
        <v>45055.21</v>
      </c>
      <c r="M27" s="192">
        <f>9530.13+646+4731.68+5000+15670.87</f>
        <v>35578.68</v>
      </c>
      <c r="N27" s="192">
        <f>121.28+1200+5589+9530.13+4671.41+15670.87+10400.9</f>
        <v>47183.590000000004</v>
      </c>
      <c r="O27" s="192">
        <f>3876+15670.87+5594.16+5827.87+6655.36+7862.64+8547.09+6679.9+3659.43+9530.13+9544.66+8174.08+15643-349.15</f>
        <v>106916.04000000002</v>
      </c>
      <c r="P27" s="202">
        <f>1500+4500+9530.13+3836.13+7323+8703.16+13533.06+9486.82</f>
        <v>58412.299999999996</v>
      </c>
      <c r="Q27" s="200">
        <f t="shared" si="1"/>
        <v>554830.0800000001</v>
      </c>
      <c r="R27" s="203">
        <f>Q27-D27</f>
        <v>-195169.91999999993</v>
      </c>
      <c r="S27" s="152">
        <v>750000</v>
      </c>
    </row>
    <row r="28" spans="1:19" ht="14.25">
      <c r="A28" s="149" t="s">
        <v>35</v>
      </c>
      <c r="B28" s="153" t="s">
        <v>78</v>
      </c>
      <c r="C28" s="151" t="s">
        <v>42</v>
      </c>
      <c r="D28" s="154">
        <v>240000</v>
      </c>
      <c r="E28" s="197">
        <f>1500+1500+1800+1800+500+1500+2500+13500</f>
        <v>24600</v>
      </c>
      <c r="F28" s="205">
        <f>1500+1500+1800+1500+2500+18000+1500</f>
        <v>28300</v>
      </c>
      <c r="G28" s="205">
        <f>1500</f>
        <v>1500</v>
      </c>
      <c r="H28" s="206"/>
      <c r="I28" s="206">
        <f>2500+5000+7800+1250+2500+4500+7500</f>
        <v>31050</v>
      </c>
      <c r="J28" s="206">
        <f>2500+9000+5500+3000+6000+9000</f>
        <v>35000</v>
      </c>
      <c r="K28" s="206">
        <f>2500+10000+5000+7500+2500</f>
        <v>27500</v>
      </c>
      <c r="L28" s="206">
        <f>3500+5000+2500+11400+2500+2500+2500+2500</f>
        <v>32400</v>
      </c>
      <c r="M28" s="206">
        <f>2500+3500+2400+2400+2500+2500+3500+2500+2500+2500</f>
        <v>26800</v>
      </c>
      <c r="N28" s="206">
        <f>2400+2500+2500+3500</f>
        <v>10900</v>
      </c>
      <c r="O28" s="206">
        <f>2400+7500+2500+2500+2500+2500+3500+2500+2500+5000+2500</f>
        <v>35900</v>
      </c>
      <c r="P28" s="202">
        <f>2400+2500+3500+2500+2500+2500</f>
        <v>15900</v>
      </c>
      <c r="Q28" s="200">
        <f t="shared" si="1"/>
        <v>269850</v>
      </c>
      <c r="R28" s="201">
        <f>SUM(Q28-D28)</f>
        <v>29850</v>
      </c>
      <c r="S28" s="155">
        <v>240000</v>
      </c>
    </row>
    <row r="29" spans="1:19" ht="14.25">
      <c r="A29" s="149" t="s">
        <v>36</v>
      </c>
      <c r="B29" s="153" t="s">
        <v>40</v>
      </c>
      <c r="C29" s="151" t="s">
        <v>42</v>
      </c>
      <c r="D29" s="154">
        <v>838800</v>
      </c>
      <c r="E29" s="204">
        <v>46085.92</v>
      </c>
      <c r="F29" s="205">
        <v>50698.23</v>
      </c>
      <c r="G29" s="151">
        <v>74622.35</v>
      </c>
      <c r="H29" s="192">
        <v>84046.17</v>
      </c>
      <c r="I29" s="192">
        <v>72784.98</v>
      </c>
      <c r="J29" s="192">
        <v>73125.27</v>
      </c>
      <c r="K29" s="192">
        <v>72515.57</v>
      </c>
      <c r="L29" s="192">
        <v>72433.48</v>
      </c>
      <c r="M29" s="192">
        <v>70631.99</v>
      </c>
      <c r="N29" s="192">
        <v>73978.19</v>
      </c>
      <c r="O29" s="192">
        <v>70864.33</v>
      </c>
      <c r="P29" s="193">
        <v>110160.3</v>
      </c>
      <c r="Q29" s="200">
        <f t="shared" si="1"/>
        <v>871946.7799999999</v>
      </c>
      <c r="R29" s="201">
        <f>SUM(Q29-D29)</f>
        <v>33146.77999999991</v>
      </c>
      <c r="S29" s="155">
        <v>838800</v>
      </c>
    </row>
    <row r="30" spans="1:19" ht="15" thickBot="1">
      <c r="A30" s="149" t="s">
        <v>37</v>
      </c>
      <c r="B30" s="153" t="s">
        <v>115</v>
      </c>
      <c r="C30" s="151" t="s">
        <v>42</v>
      </c>
      <c r="D30" s="157">
        <v>1558515</v>
      </c>
      <c r="E30" s="191"/>
      <c r="F30" s="151"/>
      <c r="G30" s="151"/>
      <c r="H30" s="192"/>
      <c r="I30" s="192"/>
      <c r="J30" s="192"/>
      <c r="K30" s="192"/>
      <c r="L30" s="192"/>
      <c r="M30" s="192"/>
      <c r="N30" s="192"/>
      <c r="O30" s="192"/>
      <c r="P30" s="193"/>
      <c r="Q30" s="200">
        <v>1302100</v>
      </c>
      <c r="R30" s="201">
        <f>SUM(Q30-D30)</f>
        <v>-256415</v>
      </c>
      <c r="S30" s="155">
        <f>D30</f>
        <v>1558515</v>
      </c>
    </row>
    <row r="31" spans="1:19" ht="21.75" customHeight="1" thickBot="1">
      <c r="A31" s="158"/>
      <c r="B31" s="159" t="s">
        <v>43</v>
      </c>
      <c r="C31" s="160" t="s">
        <v>42</v>
      </c>
      <c r="D31" s="161">
        <f>D18+D21+D28+D29+D27+D30</f>
        <v>13775315</v>
      </c>
      <c r="E31" s="208">
        <f>E18+E27+E28+E21+E29</f>
        <v>606050.5800000001</v>
      </c>
      <c r="F31" s="208">
        <f aca="true" t="shared" si="4" ref="F31:P31">F18+F27+F28+F21+F29</f>
        <v>821631.53</v>
      </c>
      <c r="G31" s="208">
        <f t="shared" si="4"/>
        <v>1018529.33</v>
      </c>
      <c r="H31" s="208">
        <f t="shared" si="4"/>
        <v>1262145.6</v>
      </c>
      <c r="I31" s="208">
        <f t="shared" si="4"/>
        <v>1167049.6099999999</v>
      </c>
      <c r="J31" s="208">
        <f t="shared" si="4"/>
        <v>997217.9</v>
      </c>
      <c r="K31" s="208">
        <f t="shared" si="4"/>
        <v>718002.6799999999</v>
      </c>
      <c r="L31" s="208">
        <f t="shared" si="4"/>
        <v>746900.91</v>
      </c>
      <c r="M31" s="208">
        <f t="shared" si="4"/>
        <v>814294.1</v>
      </c>
      <c r="N31" s="208">
        <f t="shared" si="4"/>
        <v>937618.96</v>
      </c>
      <c r="O31" s="208">
        <f t="shared" si="4"/>
        <v>1146912.2700000003</v>
      </c>
      <c r="P31" s="208">
        <f t="shared" si="4"/>
        <v>1769847.2</v>
      </c>
      <c r="Q31" s="200">
        <f>SUM(Q18+Q21+Q27+Q28+Q29+Q30)</f>
        <v>13308300.670000002</v>
      </c>
      <c r="R31" s="209">
        <f>SUM(R18+R21+R27+R28+R29)</f>
        <v>-210599.32999999856</v>
      </c>
      <c r="S31" s="161">
        <f>SUM(S18+S21+S27+S28+S29+S30)</f>
        <v>13775315</v>
      </c>
    </row>
    <row r="32" spans="1:19" ht="14.25">
      <c r="A32" s="149" t="s">
        <v>44</v>
      </c>
      <c r="B32" s="153" t="s">
        <v>45</v>
      </c>
      <c r="C32" s="151"/>
      <c r="D32" s="148"/>
      <c r="E32" s="210"/>
      <c r="F32" s="211"/>
      <c r="G32" s="211"/>
      <c r="H32" s="212"/>
      <c r="I32" s="212"/>
      <c r="J32" s="212"/>
      <c r="K32" s="212"/>
      <c r="L32" s="212"/>
      <c r="M32" s="212"/>
      <c r="N32" s="212"/>
      <c r="O32" s="212"/>
      <c r="P32" s="213"/>
      <c r="Q32" s="194"/>
      <c r="R32" s="195"/>
      <c r="S32" s="148"/>
    </row>
    <row r="33" spans="1:19" ht="14.25">
      <c r="A33" s="149" t="s">
        <v>46</v>
      </c>
      <c r="B33" s="153" t="s">
        <v>47</v>
      </c>
      <c r="C33" s="151" t="s">
        <v>42</v>
      </c>
      <c r="D33" s="154">
        <f>SUM(D34:D59)</f>
        <v>5637653</v>
      </c>
      <c r="E33" s="197">
        <f>E34+E37+E39+E40+E41+E42+E43+E44+E45+E47+E48+E49+E50+E52+E51+E53+E54+E55+E56+E57+E58+E59</f>
        <v>409366.02999999997</v>
      </c>
      <c r="F33" s="197">
        <f aca="true" t="shared" si="5" ref="F33:P33">F34+F37+F39+F40+F41+F42+F43+F44+F45+F47+F48+F49+F50+F52+F51+F53+F54+F55+F56+F57+F58+F59</f>
        <v>395521.85</v>
      </c>
      <c r="G33" s="197">
        <f t="shared" si="5"/>
        <v>368173.39999999997</v>
      </c>
      <c r="H33" s="197">
        <f t="shared" si="5"/>
        <v>532828.4600000001</v>
      </c>
      <c r="I33" s="197">
        <f t="shared" si="5"/>
        <v>468678.87000000005</v>
      </c>
      <c r="J33" s="197">
        <f t="shared" si="5"/>
        <v>382604.78</v>
      </c>
      <c r="K33" s="197">
        <f t="shared" si="5"/>
        <v>393710.58999999997</v>
      </c>
      <c r="L33" s="197">
        <f t="shared" si="5"/>
        <v>467708.21</v>
      </c>
      <c r="M33" s="197">
        <f t="shared" si="5"/>
        <v>563726.02</v>
      </c>
      <c r="N33" s="197">
        <f t="shared" si="5"/>
        <v>359161.79</v>
      </c>
      <c r="O33" s="197">
        <f t="shared" si="5"/>
        <v>422267.35</v>
      </c>
      <c r="P33" s="197">
        <f t="shared" si="5"/>
        <v>398156.25</v>
      </c>
      <c r="Q33" s="214">
        <v>5190295.6</v>
      </c>
      <c r="R33" s="215">
        <f>Q33-D33</f>
        <v>-447357.4000000004</v>
      </c>
      <c r="S33" s="154">
        <f>SUM(S34:S59)</f>
        <v>5637653</v>
      </c>
    </row>
    <row r="34" spans="1:19" ht="14.25">
      <c r="A34" s="149"/>
      <c r="B34" s="162" t="s">
        <v>48</v>
      </c>
      <c r="C34" s="151" t="s">
        <v>42</v>
      </c>
      <c r="D34" s="155">
        <v>1782790</v>
      </c>
      <c r="E34" s="197">
        <v>143308.24</v>
      </c>
      <c r="F34" s="205">
        <v>97758.05</v>
      </c>
      <c r="G34" s="205">
        <v>114634.4</v>
      </c>
      <c r="H34" s="206">
        <v>120556.08</v>
      </c>
      <c r="I34" s="206">
        <v>150835.81</v>
      </c>
      <c r="J34" s="206">
        <v>106505.24</v>
      </c>
      <c r="K34" s="206">
        <v>131480.77</v>
      </c>
      <c r="L34" s="206">
        <v>149339.78</v>
      </c>
      <c r="M34" s="206">
        <v>141959.28</v>
      </c>
      <c r="N34" s="206">
        <v>161761.88</v>
      </c>
      <c r="O34" s="206">
        <v>157850.62</v>
      </c>
      <c r="P34" s="202">
        <v>170741.65</v>
      </c>
      <c r="Q34" s="214">
        <f aca="true" t="shared" si="6" ref="Q34:Q59">SUM(E34:P34)</f>
        <v>1646731.7999999998</v>
      </c>
      <c r="R34" s="215">
        <f>Q34-D34</f>
        <v>-136058.2000000002</v>
      </c>
      <c r="S34" s="155">
        <v>1782790</v>
      </c>
    </row>
    <row r="35" spans="1:19" ht="14.25">
      <c r="A35" s="163"/>
      <c r="B35" s="162" t="s">
        <v>155</v>
      </c>
      <c r="C35" s="151" t="s">
        <v>42</v>
      </c>
      <c r="D35" s="155"/>
      <c r="E35" s="197">
        <v>3450</v>
      </c>
      <c r="F35" s="205">
        <v>3450</v>
      </c>
      <c r="G35" s="205">
        <v>3450</v>
      </c>
      <c r="H35" s="206">
        <v>3450</v>
      </c>
      <c r="I35" s="206"/>
      <c r="J35" s="206"/>
      <c r="K35" s="206"/>
      <c r="L35" s="206"/>
      <c r="M35" s="206"/>
      <c r="N35" s="206"/>
      <c r="O35" s="206"/>
      <c r="P35" s="216"/>
      <c r="Q35" s="214">
        <f t="shared" si="6"/>
        <v>13800</v>
      </c>
      <c r="R35" s="215"/>
      <c r="S35" s="155"/>
    </row>
    <row r="36" spans="1:19" ht="14.25">
      <c r="A36" s="163"/>
      <c r="B36" s="162" t="s">
        <v>156</v>
      </c>
      <c r="C36" s="151" t="s">
        <v>42</v>
      </c>
      <c r="D36" s="155"/>
      <c r="E36" s="197">
        <v>4370</v>
      </c>
      <c r="F36" s="205">
        <v>3220</v>
      </c>
      <c r="G36" s="205">
        <v>3220</v>
      </c>
      <c r="H36" s="206">
        <v>3220</v>
      </c>
      <c r="I36" s="206">
        <v>3220</v>
      </c>
      <c r="J36" s="206">
        <v>3910</v>
      </c>
      <c r="K36" s="206">
        <v>6220.89</v>
      </c>
      <c r="L36" s="206">
        <v>1360</v>
      </c>
      <c r="M36" s="206">
        <v>3910</v>
      </c>
      <c r="N36" s="206">
        <v>3910</v>
      </c>
      <c r="O36" s="206">
        <v>3910</v>
      </c>
      <c r="P36" s="202">
        <v>5206.36</v>
      </c>
      <c r="Q36" s="214">
        <f t="shared" si="6"/>
        <v>45677.25</v>
      </c>
      <c r="R36" s="215"/>
      <c r="S36" s="155"/>
    </row>
    <row r="37" spans="1:19" ht="14.25">
      <c r="A37" s="149"/>
      <c r="B37" s="162" t="s">
        <v>49</v>
      </c>
      <c r="C37" s="151" t="s">
        <v>42</v>
      </c>
      <c r="D37" s="155">
        <v>945588</v>
      </c>
      <c r="E37" s="197">
        <v>83406.35</v>
      </c>
      <c r="F37" s="205">
        <v>70768.31</v>
      </c>
      <c r="G37" s="205">
        <v>64774.19</v>
      </c>
      <c r="H37" s="206">
        <v>55477</v>
      </c>
      <c r="I37" s="206">
        <v>68160.6</v>
      </c>
      <c r="J37" s="206">
        <v>75357.2</v>
      </c>
      <c r="K37" s="206">
        <v>57664.8</v>
      </c>
      <c r="L37" s="206">
        <v>60029</v>
      </c>
      <c r="M37" s="206">
        <v>59352.07</v>
      </c>
      <c r="N37" s="206">
        <v>62392.71</v>
      </c>
      <c r="O37" s="206">
        <v>71388.52</v>
      </c>
      <c r="P37" s="193">
        <v>69655.39</v>
      </c>
      <c r="Q37" s="214">
        <f t="shared" si="6"/>
        <v>798426.1399999999</v>
      </c>
      <c r="R37" s="215">
        <v>1053.45</v>
      </c>
      <c r="S37" s="155">
        <v>945588</v>
      </c>
    </row>
    <row r="38" spans="1:19" ht="14.25">
      <c r="A38" s="163"/>
      <c r="B38" s="162" t="s">
        <v>154</v>
      </c>
      <c r="C38" s="151" t="s">
        <v>42</v>
      </c>
      <c r="D38" s="155"/>
      <c r="E38" s="197">
        <f>(E37+(E37*26)/100)-E29</f>
        <v>59006.081000000006</v>
      </c>
      <c r="F38" s="197">
        <f aca="true" t="shared" si="7" ref="F38:M38">(F37+(F37*26)/100)-F29</f>
        <v>38469.8406</v>
      </c>
      <c r="G38" s="197">
        <f t="shared" si="7"/>
        <v>6993.129399999991</v>
      </c>
      <c r="H38" s="197"/>
      <c r="I38" s="197">
        <f t="shared" si="7"/>
        <v>13097.376000000004</v>
      </c>
      <c r="J38" s="197">
        <f t="shared" si="7"/>
        <v>21824.801999999996</v>
      </c>
      <c r="K38" s="197">
        <f t="shared" si="7"/>
        <v>142.07799999999406</v>
      </c>
      <c r="L38" s="197">
        <f t="shared" si="7"/>
        <v>3203.060000000012</v>
      </c>
      <c r="M38" s="197">
        <f t="shared" si="7"/>
        <v>4151.618199999997</v>
      </c>
      <c r="N38" s="197">
        <f>(N37+(N37*26)/100)-N29</f>
        <v>4636.624599999996</v>
      </c>
      <c r="O38" s="197">
        <f>(O37+(O37*26)/100)-O29</f>
        <v>19085.20520000001</v>
      </c>
      <c r="P38" s="197">
        <f>(P37+(P37*26)/100)-P29</f>
        <v>-22394.5086</v>
      </c>
      <c r="Q38" s="214">
        <f t="shared" si="6"/>
        <v>148215.3064</v>
      </c>
      <c r="R38" s="215"/>
      <c r="S38" s="155"/>
    </row>
    <row r="39" spans="1:19" ht="14.25">
      <c r="A39" s="149"/>
      <c r="B39" s="162" t="s">
        <v>50</v>
      </c>
      <c r="C39" s="151" t="s">
        <v>42</v>
      </c>
      <c r="D39" s="155">
        <v>110000</v>
      </c>
      <c r="E39" s="197"/>
      <c r="F39" s="151"/>
      <c r="G39" s="198"/>
      <c r="H39" s="199"/>
      <c r="I39" s="199"/>
      <c r="J39" s="199"/>
      <c r="K39" s="199"/>
      <c r="L39" s="199"/>
      <c r="M39" s="199"/>
      <c r="N39" s="199"/>
      <c r="O39" s="199"/>
      <c r="P39" s="202"/>
      <c r="Q39" s="214">
        <f t="shared" si="6"/>
        <v>0</v>
      </c>
      <c r="R39" s="215">
        <f>Q39-D39</f>
        <v>-110000</v>
      </c>
      <c r="S39" s="155">
        <v>110000</v>
      </c>
    </row>
    <row r="40" spans="1:19" ht="14.25">
      <c r="A40" s="149"/>
      <c r="B40" s="162" t="s">
        <v>51</v>
      </c>
      <c r="C40" s="151" t="s">
        <v>42</v>
      </c>
      <c r="D40" s="155">
        <v>80000</v>
      </c>
      <c r="E40" s="204">
        <v>10005</v>
      </c>
      <c r="F40" s="205"/>
      <c r="G40" s="151"/>
      <c r="H40" s="192"/>
      <c r="I40" s="192">
        <v>1000</v>
      </c>
      <c r="J40" s="192">
        <v>6860.71</v>
      </c>
      <c r="K40" s="192">
        <v>8861.71</v>
      </c>
      <c r="L40" s="192"/>
      <c r="M40" s="192"/>
      <c r="N40" s="192"/>
      <c r="O40" s="192"/>
      <c r="P40" s="207"/>
      <c r="Q40" s="214">
        <f t="shared" si="6"/>
        <v>26727.42</v>
      </c>
      <c r="R40" s="215">
        <f>Q40-D40</f>
        <v>-53272.58</v>
      </c>
      <c r="S40" s="152">
        <v>80000</v>
      </c>
    </row>
    <row r="41" spans="1:19" ht="14.25">
      <c r="A41" s="149"/>
      <c r="B41" s="162" t="s">
        <v>79</v>
      </c>
      <c r="C41" s="151" t="s">
        <v>42</v>
      </c>
      <c r="D41" s="155">
        <v>1112275</v>
      </c>
      <c r="E41" s="197">
        <v>128320.64</v>
      </c>
      <c r="F41" s="151">
        <v>91274.57</v>
      </c>
      <c r="G41" s="198">
        <v>97171.73</v>
      </c>
      <c r="H41" s="199">
        <v>89971.16</v>
      </c>
      <c r="I41" s="199">
        <f>119273.87+10300</f>
        <v>129573.87</v>
      </c>
      <c r="J41" s="199">
        <v>102307.24</v>
      </c>
      <c r="K41" s="199">
        <v>107426.93</v>
      </c>
      <c r="L41" s="199">
        <v>113587.25</v>
      </c>
      <c r="M41" s="199">
        <v>116815.07</v>
      </c>
      <c r="N41" s="199">
        <f>42.25+46128.72</f>
        <v>46170.97</v>
      </c>
      <c r="O41" s="199">
        <v>109600</v>
      </c>
      <c r="P41" s="202"/>
      <c r="Q41" s="214">
        <f t="shared" si="6"/>
        <v>1132219.43</v>
      </c>
      <c r="R41" s="215">
        <f>Q41-D41</f>
        <v>19944.429999999935</v>
      </c>
      <c r="S41" s="155">
        <v>1112275</v>
      </c>
    </row>
    <row r="42" spans="1:19" ht="14.25">
      <c r="A42" s="149"/>
      <c r="B42" s="162" t="s">
        <v>52</v>
      </c>
      <c r="C42" s="151" t="s">
        <v>42</v>
      </c>
      <c r="D42" s="155">
        <v>60000</v>
      </c>
      <c r="E42" s="217"/>
      <c r="F42" s="205"/>
      <c r="G42" s="205"/>
      <c r="H42" s="206"/>
      <c r="I42" s="206">
        <v>18000</v>
      </c>
      <c r="J42" s="206">
        <f>4500+4500</f>
        <v>9000</v>
      </c>
      <c r="K42" s="206"/>
      <c r="L42" s="206">
        <v>4500</v>
      </c>
      <c r="M42" s="206">
        <v>4500</v>
      </c>
      <c r="N42" s="206"/>
      <c r="O42" s="206">
        <f>4500</f>
        <v>4500</v>
      </c>
      <c r="P42" s="202">
        <f>4500+4500</f>
        <v>9000</v>
      </c>
      <c r="Q42" s="214">
        <f t="shared" si="6"/>
        <v>49500</v>
      </c>
      <c r="R42" s="215">
        <f>Q42-D42</f>
        <v>-10500</v>
      </c>
      <c r="S42" s="155">
        <v>60000</v>
      </c>
    </row>
    <row r="43" spans="1:19" ht="14.25">
      <c r="A43" s="149"/>
      <c r="B43" s="162" t="s">
        <v>53</v>
      </c>
      <c r="C43" s="151" t="s">
        <v>42</v>
      </c>
      <c r="D43" s="155">
        <v>46000</v>
      </c>
      <c r="E43" s="197"/>
      <c r="F43" s="151">
        <f>3472.39</f>
        <v>3472.39</v>
      </c>
      <c r="G43" s="198"/>
      <c r="H43" s="199"/>
      <c r="I43" s="199">
        <v>3472.39</v>
      </c>
      <c r="J43" s="199">
        <v>3472.39</v>
      </c>
      <c r="K43" s="199">
        <v>3472.39</v>
      </c>
      <c r="L43" s="199"/>
      <c r="M43" s="199">
        <v>6944.78</v>
      </c>
      <c r="N43" s="199">
        <v>20952.04</v>
      </c>
      <c r="O43" s="199">
        <f>3472.39</f>
        <v>3472.39</v>
      </c>
      <c r="P43" s="202"/>
      <c r="Q43" s="214">
        <f t="shared" si="6"/>
        <v>45258.770000000004</v>
      </c>
      <c r="R43" s="215">
        <f>Q43-D43</f>
        <v>-741.2299999999959</v>
      </c>
      <c r="S43" s="155">
        <v>46000</v>
      </c>
    </row>
    <row r="44" spans="1:19" ht="14.25">
      <c r="A44" s="163"/>
      <c r="B44" s="162" t="s">
        <v>138</v>
      </c>
      <c r="C44" s="151" t="s">
        <v>42</v>
      </c>
      <c r="D44" s="155"/>
      <c r="E44" s="197"/>
      <c r="F44" s="151"/>
      <c r="G44" s="198"/>
      <c r="H44" s="199"/>
      <c r="I44" s="199">
        <v>3000</v>
      </c>
      <c r="J44" s="199">
        <v>6400</v>
      </c>
      <c r="K44" s="199">
        <v>3000</v>
      </c>
      <c r="L44" s="199">
        <v>3000</v>
      </c>
      <c r="M44" s="199">
        <v>6000</v>
      </c>
      <c r="N44" s="199"/>
      <c r="O44" s="199">
        <v>3000</v>
      </c>
      <c r="P44" s="202">
        <f>3000+3000</f>
        <v>6000</v>
      </c>
      <c r="Q44" s="214">
        <f t="shared" si="6"/>
        <v>30400</v>
      </c>
      <c r="R44" s="215">
        <v>30400</v>
      </c>
      <c r="S44" s="155"/>
    </row>
    <row r="45" spans="1:19" ht="14.25">
      <c r="A45" s="149"/>
      <c r="B45" s="162" t="s">
        <v>54</v>
      </c>
      <c r="C45" s="151" t="s">
        <v>42</v>
      </c>
      <c r="D45" s="155">
        <v>270000</v>
      </c>
      <c r="E45" s="197"/>
      <c r="F45" s="151">
        <f>28068.42+8208.48+10635.81+2340.41+5619.35</f>
        <v>54872.469999999994</v>
      </c>
      <c r="G45" s="198">
        <f>23150+21871.57+3963.53</f>
        <v>48985.1</v>
      </c>
      <c r="H45" s="199">
        <v>22499.29</v>
      </c>
      <c r="I45" s="199">
        <v>25907.61</v>
      </c>
      <c r="J45" s="199">
        <v>24884.85</v>
      </c>
      <c r="K45" s="199">
        <v>32997.59</v>
      </c>
      <c r="L45" s="199">
        <v>34330.66</v>
      </c>
      <c r="M45" s="199">
        <v>34310.72</v>
      </c>
      <c r="N45" s="199">
        <f>32268.78</f>
        <v>32268.78</v>
      </c>
      <c r="O45" s="199">
        <v>34266.22</v>
      </c>
      <c r="P45" s="202">
        <v>32020.21</v>
      </c>
      <c r="Q45" s="214">
        <f t="shared" si="6"/>
        <v>377343.49999999994</v>
      </c>
      <c r="R45" s="215">
        <v>-12479.81</v>
      </c>
      <c r="S45" s="155">
        <v>270000</v>
      </c>
    </row>
    <row r="46" spans="1:19" ht="14.25">
      <c r="A46" s="149"/>
      <c r="B46" s="162" t="s">
        <v>140</v>
      </c>
      <c r="C46" s="151"/>
      <c r="D46" s="155"/>
      <c r="E46" s="197"/>
      <c r="F46" s="151"/>
      <c r="G46" s="198">
        <v>5183.62</v>
      </c>
      <c r="H46" s="199">
        <v>5183.62</v>
      </c>
      <c r="I46" s="199">
        <v>5183.62</v>
      </c>
      <c r="J46" s="199">
        <v>5183.62</v>
      </c>
      <c r="K46" s="199">
        <v>10367.24</v>
      </c>
      <c r="L46" s="199">
        <v>10367.24</v>
      </c>
      <c r="M46" s="199">
        <v>15670.87</v>
      </c>
      <c r="N46" s="199">
        <v>15670.87</v>
      </c>
      <c r="O46" s="199">
        <v>15670.87</v>
      </c>
      <c r="P46" s="202">
        <f>15670.87+15670.87</f>
        <v>31341.74</v>
      </c>
      <c r="Q46" s="214">
        <v>-119823.31</v>
      </c>
      <c r="R46" s="215"/>
      <c r="S46" s="155"/>
    </row>
    <row r="47" spans="1:19" ht="27.75" customHeight="1">
      <c r="A47" s="149"/>
      <c r="B47" s="164" t="s">
        <v>110</v>
      </c>
      <c r="C47" s="151" t="s">
        <v>42</v>
      </c>
      <c r="D47" s="155">
        <v>50000</v>
      </c>
      <c r="E47" s="197">
        <f>300+680+660</f>
        <v>1640</v>
      </c>
      <c r="F47" s="151">
        <v>3100</v>
      </c>
      <c r="G47" s="151">
        <f>3295+4579+1610</f>
        <v>9484</v>
      </c>
      <c r="H47" s="192">
        <f>1000+3102</f>
        <v>4102</v>
      </c>
      <c r="I47" s="192"/>
      <c r="J47" s="192"/>
      <c r="K47" s="192"/>
      <c r="L47" s="192">
        <v>23610</v>
      </c>
      <c r="M47" s="192"/>
      <c r="N47" s="192">
        <f>9038</f>
        <v>9038</v>
      </c>
      <c r="O47" s="192"/>
      <c r="P47" s="216"/>
      <c r="Q47" s="214">
        <f t="shared" si="6"/>
        <v>50974</v>
      </c>
      <c r="R47" s="215">
        <f aca="true" t="shared" si="8" ref="R47:R64">Q47-D47</f>
        <v>974</v>
      </c>
      <c r="S47" s="155">
        <v>50000</v>
      </c>
    </row>
    <row r="48" spans="1:19" ht="14.25">
      <c r="A48" s="149"/>
      <c r="B48" s="162" t="s">
        <v>55</v>
      </c>
      <c r="C48" s="151" t="s">
        <v>42</v>
      </c>
      <c r="D48" s="155">
        <v>110000</v>
      </c>
      <c r="E48" s="197">
        <v>3255.5</v>
      </c>
      <c r="F48" s="198">
        <f>250+21</f>
        <v>271</v>
      </c>
      <c r="G48" s="205">
        <f>9+2690+155+155+155</f>
        <v>3164</v>
      </c>
      <c r="H48" s="206">
        <f>1630+1190+155+93+160+155+2395</f>
        <v>5778</v>
      </c>
      <c r="I48" s="206">
        <f>12641.7+3380.74+60+60+110+180+180</f>
        <v>16612.440000000002</v>
      </c>
      <c r="J48" s="206">
        <f>5706.65+169+169+242</f>
        <v>6286.65</v>
      </c>
      <c r="K48" s="206">
        <f>2085+740</f>
        <v>2825</v>
      </c>
      <c r="L48" s="206">
        <f>940+2013+12470.72+390+269</f>
        <v>16082.72</v>
      </c>
      <c r="M48" s="206">
        <v>1711.61</v>
      </c>
      <c r="N48" s="206">
        <f>2640+8227.5</f>
        <v>10867.5</v>
      </c>
      <c r="O48" s="206"/>
      <c r="P48" s="202">
        <f>10654+17691</f>
        <v>28345</v>
      </c>
      <c r="Q48" s="214">
        <f t="shared" si="6"/>
        <v>95199.42000000001</v>
      </c>
      <c r="R48" s="215">
        <f t="shared" si="8"/>
        <v>-14800.579999999987</v>
      </c>
      <c r="S48" s="155">
        <v>110000</v>
      </c>
    </row>
    <row r="49" spans="1:19" ht="27" customHeight="1">
      <c r="A49" s="163"/>
      <c r="B49" s="164" t="s">
        <v>112</v>
      </c>
      <c r="C49" s="151" t="s">
        <v>42</v>
      </c>
      <c r="D49" s="155">
        <v>200000</v>
      </c>
      <c r="E49" s="218">
        <v>9309.8</v>
      </c>
      <c r="F49" s="151">
        <f>1302.39+814.92+468.38+574.42+426.2+1565.56+82.24+917.17+644.5+550.94+80.72+1204.98+485.53+532+222+340+516.88+206.81+627.34+549.3+163.38</f>
        <v>12275.659999999998</v>
      </c>
      <c r="G49" s="219">
        <f>237.16+129.4+83.84+26+153.99+140+124.24+245+2369.93+1219.64+724.61+1069.34+340.92+947.9+1456.69+545.79+606.81+245.8+552+290.42+1450.47+1261.2+1005.05+523.78</f>
        <v>15749.98</v>
      </c>
      <c r="H49" s="220">
        <f>361.22+926.8+1397.37+725.62+316.6+436.03+531.68+480.5+1135.05+1420.29+1457.53+262.37+618+239.96+576.36+1038.01+70.56+682+765.72+210+163.11+334.95+603.16+375+628.15+159.6</f>
        <v>15915.640000000001</v>
      </c>
      <c r="I49" s="220">
        <f>2398.18+476.02+595.26+1051.3+568.75+509+1313.63+956.44+747.92+749.3+90.16+1117.99+251.6+174.58+169.24+586.9+354.75+1467.62+80.75+146.39+220+1407.74+1624.19+707.24</f>
        <v>17764.95</v>
      </c>
      <c r="J49" s="220">
        <f>202.87+2046.46+440.76+1022.7+1451.35+324.74+33.5+737.44+1376.26+408.22+340.8+405.14+1042.89+185.24+680.11+743.7+404.77+174.12+187.5+197.2+616.87+143.94+309.1+370.98+382.47</f>
        <v>14229.130000000003</v>
      </c>
      <c r="K49" s="220">
        <f>261.59+748.96+136.74+494.14+294.6+603.58+181.08+384.4+716.1+257.72+529.1+449.58+127.58+46.38+636+312.05+378.7+395.87+34.76+48.6+180+296.38+787.64+671.7+321.24+113.39</f>
        <v>9407.880000000001</v>
      </c>
      <c r="L49" s="220">
        <f>929.82+1084.37+645.45+709.74+162.51+430.5+134.18+1132.73+148.07+358.5+420.07+226.79+316+538.4+127.8+121.25+124.5+78.24+190.56+327.97+282.73+163+369.88+485.36+663.85+316.05+214.03</f>
        <v>10702.35</v>
      </c>
      <c r="M49" s="220">
        <f>608.16+92.64+400.39+416+626+191.1+483.15+454.64+240.38+335.1+679.3+190.57+23.85+525.93+384.55+364.55+363.34+283.12+563.8+66.49+74.54+233.07+1003.26+340.23+319.87+658.8+532.47+280.02+244.3</f>
        <v>10979.619999999999</v>
      </c>
      <c r="N49" s="220">
        <f>672.91+79+359.38+247.87+247.4+65.93+1138.87+761.41+154.9+165.02+69.05+643.4+271.71+126.58+50+208.92+80+1377.34+500+1050.34+620.75+554.07+373.97+999.66</f>
        <v>10818.479999999998</v>
      </c>
      <c r="O49" s="220">
        <f>815.54+253.59+961.8+503.06+377.21+223.98+199.96+287+98+195.1+527.04+294.03+349.15+220.65+92.02+1182.1+25.56+280+112.5+260+471.98+865.43+228.64+386.56+762.6</f>
        <v>9973.5</v>
      </c>
      <c r="P49" s="193">
        <f>424.27+245.35+711.92+210.98+391.1+550.6+481.47+427.79+545.03+258.19+124.9+1278.3+412.18+329.08+132.42+366.72+1237.1+666.75+889.55+694.89+973.5+491.33+261.18+685.51</f>
        <v>12790.109999999999</v>
      </c>
      <c r="Q49" s="214">
        <f t="shared" si="6"/>
        <v>149917.09999999998</v>
      </c>
      <c r="R49" s="215">
        <f t="shared" si="8"/>
        <v>-50082.90000000002</v>
      </c>
      <c r="S49" s="155">
        <v>200000</v>
      </c>
    </row>
    <row r="50" spans="1:19" ht="14.25">
      <c r="A50" s="149"/>
      <c r="B50" s="162" t="s">
        <v>57</v>
      </c>
      <c r="C50" s="151" t="s">
        <v>42</v>
      </c>
      <c r="D50" s="155">
        <v>50000</v>
      </c>
      <c r="E50" s="197">
        <f>3780</f>
        <v>3780</v>
      </c>
      <c r="F50" s="205">
        <f>4120</f>
        <v>4120</v>
      </c>
      <c r="G50" s="205"/>
      <c r="H50" s="206">
        <f>4120.2+4120.2</f>
        <v>8240.4</v>
      </c>
      <c r="I50" s="206">
        <v>4120.2</v>
      </c>
      <c r="J50" s="206">
        <v>4120.2</v>
      </c>
      <c r="K50" s="206">
        <v>4120.2</v>
      </c>
      <c r="L50" s="206">
        <v>4120.2</v>
      </c>
      <c r="M50" s="206">
        <v>4120.2</v>
      </c>
      <c r="N50" s="206">
        <v>4120.2</v>
      </c>
      <c r="O50" s="206"/>
      <c r="P50" s="202">
        <v>4120.2</v>
      </c>
      <c r="Q50" s="214">
        <f t="shared" si="6"/>
        <v>44981.799999999996</v>
      </c>
      <c r="R50" s="215">
        <f t="shared" si="8"/>
        <v>-5018.200000000004</v>
      </c>
      <c r="S50" s="155">
        <v>50000</v>
      </c>
    </row>
    <row r="51" spans="1:19" ht="14.25">
      <c r="A51" s="149"/>
      <c r="B51" s="162" t="s">
        <v>58</v>
      </c>
      <c r="C51" s="151" t="s">
        <v>42</v>
      </c>
      <c r="D51" s="155">
        <v>30000</v>
      </c>
      <c r="E51" s="197"/>
      <c r="F51" s="151">
        <f>7143.4+17691</f>
        <v>24834.4</v>
      </c>
      <c r="G51" s="151"/>
      <c r="H51" s="192">
        <v>24834.4</v>
      </c>
      <c r="I51" s="192"/>
      <c r="J51" s="192"/>
      <c r="K51" s="192"/>
      <c r="L51" s="192">
        <v>33328</v>
      </c>
      <c r="M51" s="192"/>
      <c r="N51" s="192"/>
      <c r="O51" s="192"/>
      <c r="P51" s="202"/>
      <c r="Q51" s="214">
        <f t="shared" si="6"/>
        <v>82996.8</v>
      </c>
      <c r="R51" s="215">
        <f t="shared" si="8"/>
        <v>52996.8</v>
      </c>
      <c r="S51" s="155">
        <v>30000</v>
      </c>
    </row>
    <row r="52" spans="1:19" ht="14.25">
      <c r="A52" s="149"/>
      <c r="B52" s="162" t="s">
        <v>85</v>
      </c>
      <c r="C52" s="151" t="s">
        <v>42</v>
      </c>
      <c r="D52" s="155">
        <v>240000</v>
      </c>
      <c r="E52" s="217"/>
      <c r="F52" s="205"/>
      <c r="G52" s="205">
        <f>9450</f>
        <v>9450</v>
      </c>
      <c r="H52" s="206">
        <v>17691</v>
      </c>
      <c r="I52" s="206">
        <v>17691</v>
      </c>
      <c r="J52" s="206">
        <v>17691</v>
      </c>
      <c r="K52" s="206">
        <v>17691</v>
      </c>
      <c r="L52" s="206"/>
      <c r="M52" s="206">
        <f>17691+17691</f>
        <v>35382</v>
      </c>
      <c r="N52" s="206"/>
      <c r="O52" s="206">
        <f>3381.7+17691+7143.4</f>
        <v>28216.1</v>
      </c>
      <c r="P52" s="202">
        <f>17691+3381.7</f>
        <v>21072.7</v>
      </c>
      <c r="Q52" s="214">
        <f t="shared" si="6"/>
        <v>164884.80000000002</v>
      </c>
      <c r="R52" s="215">
        <f t="shared" si="8"/>
        <v>-75115.19999999998</v>
      </c>
      <c r="S52" s="155">
        <v>240000</v>
      </c>
    </row>
    <row r="53" spans="1:19" ht="14.25">
      <c r="A53" s="149"/>
      <c r="B53" s="162" t="s">
        <v>116</v>
      </c>
      <c r="C53" s="151" t="s">
        <v>42</v>
      </c>
      <c r="D53" s="155">
        <v>50000</v>
      </c>
      <c r="E53" s="197">
        <f>1025+160+6037.5+68+6500+650</f>
        <v>14440.5</v>
      </c>
      <c r="F53" s="151">
        <f>1025</f>
        <v>1025</v>
      </c>
      <c r="G53" s="151">
        <f>1025+200</f>
        <v>1225</v>
      </c>
      <c r="H53" s="192">
        <f>1050+3015.09+200+290</f>
        <v>4555.09</v>
      </c>
      <c r="I53" s="192">
        <f>1050+300</f>
        <v>1350</v>
      </c>
      <c r="J53" s="192">
        <f>1050+1920.51+852.02+667.64</f>
        <v>4490.17</v>
      </c>
      <c r="K53" s="192">
        <v>1050</v>
      </c>
      <c r="L53" s="192">
        <f>1050+1610.91+390+349.6</f>
        <v>3400.5099999999998</v>
      </c>
      <c r="M53" s="192">
        <f>766.1+1738.9</f>
        <v>2505</v>
      </c>
      <c r="N53" s="192">
        <f>771.23</f>
        <v>771.23</v>
      </c>
      <c r="O53" s="192"/>
      <c r="P53" s="207">
        <f>779.23+2300+1000</f>
        <v>4079.23</v>
      </c>
      <c r="Q53" s="214">
        <f t="shared" si="6"/>
        <v>38891.73000000001</v>
      </c>
      <c r="R53" s="215">
        <f t="shared" si="8"/>
        <v>-11108.26999999999</v>
      </c>
      <c r="S53" s="155">
        <v>50000</v>
      </c>
    </row>
    <row r="54" spans="1:19" ht="14.25">
      <c r="A54" s="165"/>
      <c r="B54" s="166" t="s">
        <v>59</v>
      </c>
      <c r="C54" s="167" t="s">
        <v>42</v>
      </c>
      <c r="D54" s="155">
        <v>1000</v>
      </c>
      <c r="E54" s="221"/>
      <c r="F54" s="167"/>
      <c r="G54" s="167"/>
      <c r="H54" s="222"/>
      <c r="I54" s="222"/>
      <c r="J54" s="222"/>
      <c r="K54" s="222"/>
      <c r="L54" s="222"/>
      <c r="M54" s="222"/>
      <c r="N54" s="222"/>
      <c r="O54" s="222"/>
      <c r="P54" s="223">
        <v>500</v>
      </c>
      <c r="Q54" s="214">
        <f t="shared" si="6"/>
        <v>500</v>
      </c>
      <c r="R54" s="215">
        <f t="shared" si="8"/>
        <v>-500</v>
      </c>
      <c r="S54" s="155">
        <v>1000</v>
      </c>
    </row>
    <row r="55" spans="1:19" ht="14.25">
      <c r="A55" s="165"/>
      <c r="B55" s="166" t="s">
        <v>117</v>
      </c>
      <c r="C55" s="167" t="s">
        <v>42</v>
      </c>
      <c r="D55" s="155">
        <v>300000</v>
      </c>
      <c r="E55" s="224">
        <v>10000</v>
      </c>
      <c r="F55" s="225">
        <v>28000</v>
      </c>
      <c r="G55" s="225"/>
      <c r="H55" s="226">
        <f>11787.41+151220.99</f>
        <v>163008.4</v>
      </c>
      <c r="I55" s="226">
        <v>10000</v>
      </c>
      <c r="J55" s="226"/>
      <c r="K55" s="226">
        <v>1720</v>
      </c>
      <c r="L55" s="226"/>
      <c r="M55" s="226">
        <f>106698.59+27446.37+5000</f>
        <v>139144.96</v>
      </c>
      <c r="N55" s="226"/>
      <c r="O55" s="226"/>
      <c r="P55" s="227"/>
      <c r="Q55" s="214">
        <f t="shared" si="6"/>
        <v>351873.36</v>
      </c>
      <c r="R55" s="215">
        <f t="shared" si="8"/>
        <v>51873.359999999986</v>
      </c>
      <c r="S55" s="155">
        <v>300000</v>
      </c>
    </row>
    <row r="56" spans="1:19" ht="14.25">
      <c r="A56" s="165"/>
      <c r="B56" s="166" t="s">
        <v>60</v>
      </c>
      <c r="C56" s="167" t="s">
        <v>42</v>
      </c>
      <c r="D56" s="155">
        <v>20000</v>
      </c>
      <c r="E56" s="228"/>
      <c r="F56" s="167"/>
      <c r="G56" s="167"/>
      <c r="H56" s="222"/>
      <c r="I56" s="222"/>
      <c r="J56" s="222"/>
      <c r="K56" s="222"/>
      <c r="L56" s="222"/>
      <c r="M56" s="222"/>
      <c r="N56" s="222"/>
      <c r="O56" s="222"/>
      <c r="P56" s="223">
        <v>20000</v>
      </c>
      <c r="Q56" s="214">
        <f t="shared" si="6"/>
        <v>20000</v>
      </c>
      <c r="R56" s="215">
        <f t="shared" si="8"/>
        <v>0</v>
      </c>
      <c r="S56" s="155">
        <v>20000</v>
      </c>
    </row>
    <row r="57" spans="1:19" ht="14.25">
      <c r="A57" s="165"/>
      <c r="B57" s="166" t="s">
        <v>61</v>
      </c>
      <c r="C57" s="167" t="s">
        <v>42</v>
      </c>
      <c r="D57" s="155">
        <v>50000</v>
      </c>
      <c r="E57" s="224"/>
      <c r="F57" s="167"/>
      <c r="G57" s="167"/>
      <c r="H57" s="222"/>
      <c r="I57" s="222"/>
      <c r="J57" s="222"/>
      <c r="K57" s="222"/>
      <c r="L57" s="222"/>
      <c r="M57" s="222"/>
      <c r="N57" s="222"/>
      <c r="O57" s="222"/>
      <c r="P57" s="223">
        <v>19030</v>
      </c>
      <c r="Q57" s="214">
        <f t="shared" si="6"/>
        <v>19030</v>
      </c>
      <c r="R57" s="215">
        <f t="shared" si="8"/>
        <v>-30970</v>
      </c>
      <c r="S57" s="155">
        <v>50000</v>
      </c>
    </row>
    <row r="58" spans="1:19" ht="14.25">
      <c r="A58" s="165"/>
      <c r="B58" s="166" t="s">
        <v>77</v>
      </c>
      <c r="C58" s="167" t="s">
        <v>42</v>
      </c>
      <c r="D58" s="155">
        <v>100000</v>
      </c>
      <c r="E58" s="228"/>
      <c r="F58" s="225">
        <f>2000+500+300+500+300+150</f>
        <v>3750</v>
      </c>
      <c r="G58" s="167">
        <f>200+500+415+600+720+300+500+300</f>
        <v>3535</v>
      </c>
      <c r="H58" s="222">
        <f>200</f>
        <v>200</v>
      </c>
      <c r="I58" s="222">
        <f>390+300+500</f>
        <v>1190</v>
      </c>
      <c r="J58" s="222"/>
      <c r="K58" s="222">
        <f>10393.98+1098.34</f>
        <v>11492.32</v>
      </c>
      <c r="L58" s="222">
        <f>77.74</f>
        <v>77.74</v>
      </c>
      <c r="M58" s="222">
        <f>0.71</f>
        <v>0.71</v>
      </c>
      <c r="N58" s="222"/>
      <c r="O58" s="222"/>
      <c r="P58" s="229">
        <v>801.76</v>
      </c>
      <c r="Q58" s="214">
        <f t="shared" si="6"/>
        <v>21047.53</v>
      </c>
      <c r="R58" s="215">
        <f t="shared" si="8"/>
        <v>-78952.47</v>
      </c>
      <c r="S58" s="155">
        <v>100000</v>
      </c>
    </row>
    <row r="59" spans="1:19" ht="14.25">
      <c r="A59" s="165"/>
      <c r="B59" s="166" t="s">
        <v>87</v>
      </c>
      <c r="C59" s="167" t="s">
        <v>42</v>
      </c>
      <c r="D59" s="155">
        <v>30000</v>
      </c>
      <c r="E59" s="230">
        <f>1900</f>
        <v>1900</v>
      </c>
      <c r="F59" s="167"/>
      <c r="G59" s="225"/>
      <c r="H59" s="226"/>
      <c r="I59" s="226"/>
      <c r="J59" s="226">
        <v>1000</v>
      </c>
      <c r="K59" s="226">
        <v>500</v>
      </c>
      <c r="L59" s="226">
        <f>6900+4700</f>
        <v>11600</v>
      </c>
      <c r="M59" s="226"/>
      <c r="N59" s="226"/>
      <c r="O59" s="226"/>
      <c r="P59" s="229"/>
      <c r="Q59" s="214">
        <f t="shared" si="6"/>
        <v>15000</v>
      </c>
      <c r="R59" s="215">
        <f t="shared" si="8"/>
        <v>-15000</v>
      </c>
      <c r="S59" s="155">
        <v>30000</v>
      </c>
    </row>
    <row r="60" spans="1:19" ht="14.25">
      <c r="A60" s="165" t="s">
        <v>62</v>
      </c>
      <c r="B60" s="168" t="s">
        <v>63</v>
      </c>
      <c r="C60" s="167" t="s">
        <v>42</v>
      </c>
      <c r="D60" s="154">
        <f>SUM(D61:D68)</f>
        <v>2420000</v>
      </c>
      <c r="E60" s="221">
        <f>SUM(E61:E68)</f>
        <v>0</v>
      </c>
      <c r="F60" s="225">
        <f>SUM(F61:F68)</f>
        <v>0</v>
      </c>
      <c r="G60" s="231">
        <f>SUM(G61:G68)</f>
        <v>7900</v>
      </c>
      <c r="H60" s="231">
        <f aca="true" t="shared" si="9" ref="H60:P60">SUM(H61:H68)</f>
        <v>0</v>
      </c>
      <c r="I60" s="231">
        <f t="shared" si="9"/>
        <v>27694.05</v>
      </c>
      <c r="J60" s="231">
        <f t="shared" si="9"/>
        <v>3070</v>
      </c>
      <c r="K60" s="231">
        <f t="shared" si="9"/>
        <v>291482.32</v>
      </c>
      <c r="L60" s="231">
        <f t="shared" si="9"/>
        <v>25963.22</v>
      </c>
      <c r="M60" s="231">
        <f t="shared" si="9"/>
        <v>42802.8</v>
      </c>
      <c r="N60" s="231">
        <f t="shared" si="9"/>
        <v>173495.05000000002</v>
      </c>
      <c r="O60" s="231">
        <f t="shared" si="9"/>
        <v>9360</v>
      </c>
      <c r="P60" s="231">
        <f t="shared" si="9"/>
        <v>149062</v>
      </c>
      <c r="Q60" s="214">
        <v>728829.44</v>
      </c>
      <c r="R60" s="232">
        <f>Q60-D60</f>
        <v>-1691170.56</v>
      </c>
      <c r="S60" s="154">
        <f>SUM(S61:S68)</f>
        <v>2420000</v>
      </c>
    </row>
    <row r="61" spans="1:19" ht="14.25">
      <c r="A61" s="165"/>
      <c r="B61" s="169" t="s">
        <v>120</v>
      </c>
      <c r="C61" s="167" t="s">
        <v>42</v>
      </c>
      <c r="D61" s="155">
        <v>200000</v>
      </c>
      <c r="E61" s="221"/>
      <c r="F61" s="225"/>
      <c r="G61" s="231"/>
      <c r="H61" s="233"/>
      <c r="I61" s="233"/>
      <c r="J61" s="233"/>
      <c r="K61" s="233">
        <v>2000</v>
      </c>
      <c r="L61" s="233"/>
      <c r="M61" s="233"/>
      <c r="N61" s="233"/>
      <c r="O61" s="233"/>
      <c r="P61" s="229"/>
      <c r="Q61" s="214">
        <f>SUM(E61+F61+G61+P61)</f>
        <v>0</v>
      </c>
      <c r="R61" s="234">
        <f t="shared" si="8"/>
        <v>-200000</v>
      </c>
      <c r="S61" s="155">
        <v>200000</v>
      </c>
    </row>
    <row r="62" spans="1:19" ht="40.5" customHeight="1">
      <c r="A62" s="165"/>
      <c r="B62" s="169" t="s">
        <v>121</v>
      </c>
      <c r="C62" s="167" t="s">
        <v>42</v>
      </c>
      <c r="D62" s="155">
        <v>80000</v>
      </c>
      <c r="E62" s="221"/>
      <c r="F62" s="225"/>
      <c r="G62" s="231"/>
      <c r="H62" s="233"/>
      <c r="I62" s="233"/>
      <c r="J62" s="233">
        <f>680+1040</f>
        <v>1720</v>
      </c>
      <c r="K62" s="233">
        <v>875</v>
      </c>
      <c r="L62" s="233"/>
      <c r="M62" s="233">
        <f>4000+14000+22750</f>
        <v>40750</v>
      </c>
      <c r="N62" s="233"/>
      <c r="O62" s="233"/>
      <c r="P62" s="229"/>
      <c r="Q62" s="214">
        <f>SUM(E62:P62)</f>
        <v>43345</v>
      </c>
      <c r="R62" s="234">
        <f t="shared" si="8"/>
        <v>-36655</v>
      </c>
      <c r="S62" s="155">
        <v>80000</v>
      </c>
    </row>
    <row r="63" spans="1:19" ht="30" customHeight="1">
      <c r="A63" s="165"/>
      <c r="B63" s="169" t="s">
        <v>84</v>
      </c>
      <c r="C63" s="167" t="s">
        <v>42</v>
      </c>
      <c r="D63" s="155">
        <v>80000</v>
      </c>
      <c r="E63" s="228"/>
      <c r="F63" s="225"/>
      <c r="G63" s="225">
        <f>2500+5400</f>
        <v>7900</v>
      </c>
      <c r="H63" s="233"/>
      <c r="I63" s="233">
        <f>13063.05+14631</f>
        <v>27694.05</v>
      </c>
      <c r="J63" s="233">
        <f>1350</f>
        <v>1350</v>
      </c>
      <c r="K63" s="233">
        <v>26807.32</v>
      </c>
      <c r="L63" s="233">
        <f>5440+7436.9+13086.32</f>
        <v>25963.22</v>
      </c>
      <c r="M63" s="233">
        <f>1386+666.8</f>
        <v>2052.8</v>
      </c>
      <c r="N63" s="233">
        <f>2592.63+21840</f>
        <v>24432.63</v>
      </c>
      <c r="O63" s="233">
        <f>9360</f>
        <v>9360</v>
      </c>
      <c r="P63" s="229"/>
      <c r="Q63" s="214">
        <f>SUM(E63:P63)</f>
        <v>125560.02</v>
      </c>
      <c r="R63" s="234">
        <f t="shared" si="8"/>
        <v>45560.020000000004</v>
      </c>
      <c r="S63" s="155">
        <v>80000</v>
      </c>
    </row>
    <row r="64" spans="1:19" ht="57">
      <c r="A64" s="165"/>
      <c r="B64" s="169" t="s">
        <v>139</v>
      </c>
      <c r="C64" s="167" t="s">
        <v>42</v>
      </c>
      <c r="D64" s="155">
        <v>900000</v>
      </c>
      <c r="E64" s="228"/>
      <c r="F64" s="225"/>
      <c r="G64" s="231"/>
      <c r="H64" s="233"/>
      <c r="I64" s="233"/>
      <c r="J64" s="233"/>
      <c r="K64" s="233">
        <f>78540+130900+52360</f>
        <v>261800</v>
      </c>
      <c r="L64" s="233"/>
      <c r="M64" s="233"/>
      <c r="N64" s="233"/>
      <c r="O64" s="233"/>
      <c r="P64" s="229"/>
      <c r="Q64" s="214">
        <f>SUM(E64:P64)</f>
        <v>261800</v>
      </c>
      <c r="R64" s="234">
        <f t="shared" si="8"/>
        <v>-638200</v>
      </c>
      <c r="S64" s="155">
        <v>900000</v>
      </c>
    </row>
    <row r="65" spans="1:19" ht="28.5">
      <c r="A65" s="165"/>
      <c r="B65" s="169" t="s">
        <v>122</v>
      </c>
      <c r="C65" s="167" t="s">
        <v>42</v>
      </c>
      <c r="D65" s="155">
        <v>120000</v>
      </c>
      <c r="E65" s="228"/>
      <c r="F65" s="225"/>
      <c r="G65" s="231"/>
      <c r="H65" s="233"/>
      <c r="I65" s="233"/>
      <c r="J65" s="233"/>
      <c r="K65" s="233"/>
      <c r="L65" s="233"/>
      <c r="M65" s="233"/>
      <c r="N65" s="233"/>
      <c r="O65" s="233"/>
      <c r="P65" s="229"/>
      <c r="Q65" s="214"/>
      <c r="R65" s="234">
        <v>-120000</v>
      </c>
      <c r="S65" s="155">
        <v>120000</v>
      </c>
    </row>
    <row r="66" spans="1:19" ht="28.5">
      <c r="A66" s="165"/>
      <c r="B66" s="169" t="s">
        <v>119</v>
      </c>
      <c r="C66" s="167" t="s">
        <v>42</v>
      </c>
      <c r="D66" s="155">
        <v>180000</v>
      </c>
      <c r="E66" s="228"/>
      <c r="F66" s="225"/>
      <c r="G66" s="231"/>
      <c r="H66" s="233"/>
      <c r="I66" s="233"/>
      <c r="J66" s="233"/>
      <c r="K66" s="233"/>
      <c r="L66" s="233"/>
      <c r="M66" s="233"/>
      <c r="N66" s="233"/>
      <c r="O66" s="233"/>
      <c r="P66" s="229"/>
      <c r="Q66" s="214"/>
      <c r="R66" s="234">
        <v>-180000</v>
      </c>
      <c r="S66" s="155">
        <v>180000</v>
      </c>
    </row>
    <row r="67" spans="1:19" ht="29.25" customHeight="1">
      <c r="A67" s="165"/>
      <c r="B67" s="169" t="s">
        <v>123</v>
      </c>
      <c r="C67" s="167" t="s">
        <v>42</v>
      </c>
      <c r="D67" s="155">
        <v>160000</v>
      </c>
      <c r="E67" s="228"/>
      <c r="F67" s="225"/>
      <c r="G67" s="231"/>
      <c r="H67" s="233"/>
      <c r="I67" s="233"/>
      <c r="J67" s="233"/>
      <c r="K67" s="233"/>
      <c r="L67" s="233"/>
      <c r="M67" s="233"/>
      <c r="N67" s="233"/>
      <c r="O67" s="233"/>
      <c r="P67" s="229"/>
      <c r="Q67" s="214"/>
      <c r="R67" s="234">
        <v>-160000</v>
      </c>
      <c r="S67" s="155">
        <v>160000</v>
      </c>
    </row>
    <row r="68" spans="1:19" ht="28.5">
      <c r="A68" s="165"/>
      <c r="B68" s="169" t="s">
        <v>118</v>
      </c>
      <c r="C68" s="167" t="s">
        <v>42</v>
      </c>
      <c r="D68" s="155">
        <v>700000</v>
      </c>
      <c r="E68" s="228"/>
      <c r="F68" s="225"/>
      <c r="G68" s="231"/>
      <c r="H68" s="233"/>
      <c r="I68" s="233"/>
      <c r="J68" s="233"/>
      <c r="K68" s="233"/>
      <c r="L68" s="233"/>
      <c r="M68" s="233"/>
      <c r="N68" s="233">
        <f>149062.42</f>
        <v>149062.42</v>
      </c>
      <c r="O68" s="233"/>
      <c r="P68" s="235">
        <v>149062</v>
      </c>
      <c r="Q68" s="214">
        <f>SUM(E68:P68)</f>
        <v>298124.42000000004</v>
      </c>
      <c r="R68" s="234">
        <f aca="true" t="shared" si="10" ref="R68:R74">Q68-D68</f>
        <v>-401875.57999999996</v>
      </c>
      <c r="S68" s="155">
        <v>700000</v>
      </c>
    </row>
    <row r="69" spans="1:19" ht="15">
      <c r="A69" s="165" t="s">
        <v>64</v>
      </c>
      <c r="B69" s="168" t="s">
        <v>65</v>
      </c>
      <c r="C69" s="167" t="s">
        <v>42</v>
      </c>
      <c r="D69" s="154">
        <f>SUM(D70)</f>
        <v>100000</v>
      </c>
      <c r="E69" s="224">
        <f>SUM(E70)</f>
        <v>4863.36</v>
      </c>
      <c r="F69" s="231">
        <f>SUM(F70)</f>
        <v>2395</v>
      </c>
      <c r="G69" s="225">
        <f>SUM(G70)</f>
        <v>9745.31</v>
      </c>
      <c r="H69" s="225">
        <f aca="true" t="shared" si="11" ref="H69:P69">SUM(H70)</f>
        <v>6258.2699999999995</v>
      </c>
      <c r="I69" s="225">
        <f t="shared" si="11"/>
        <v>6324.950000000001</v>
      </c>
      <c r="J69" s="225">
        <f t="shared" si="11"/>
        <v>5725.74</v>
      </c>
      <c r="K69" s="225">
        <f t="shared" si="11"/>
        <v>6742.410000000001</v>
      </c>
      <c r="L69" s="225">
        <f t="shared" si="11"/>
        <v>6106.79</v>
      </c>
      <c r="M69" s="225">
        <f t="shared" si="11"/>
        <v>6139.139999999999</v>
      </c>
      <c r="N69" s="225">
        <f t="shared" si="11"/>
        <v>5025</v>
      </c>
      <c r="O69" s="225">
        <f t="shared" si="11"/>
        <v>5139.4</v>
      </c>
      <c r="P69" s="225">
        <f t="shared" si="11"/>
        <v>8497.95</v>
      </c>
      <c r="Q69" s="214">
        <f>Q70</f>
        <v>72963.32</v>
      </c>
      <c r="R69" s="232">
        <f t="shared" si="10"/>
        <v>-27036.679999999993</v>
      </c>
      <c r="S69" s="154">
        <f>SUM(S70)</f>
        <v>100000</v>
      </c>
    </row>
    <row r="70" spans="1:19" ht="14.25">
      <c r="A70" s="165"/>
      <c r="B70" s="170" t="s">
        <v>111</v>
      </c>
      <c r="C70" s="167" t="s">
        <v>42</v>
      </c>
      <c r="D70" s="155">
        <v>100000</v>
      </c>
      <c r="E70" s="224">
        <f>1600+165+55+55+360+200+2086.21+342.15</f>
        <v>4863.36</v>
      </c>
      <c r="F70" s="231">
        <f>1600+110+80+55+330+110+55+55</f>
        <v>2395</v>
      </c>
      <c r="G70" s="225">
        <f>1600+1015+110+110+816.79+1370.87+110+344.65+110+2000+2158</f>
        <v>9745.31</v>
      </c>
      <c r="H70" s="226">
        <f>55+55+55+55+55+55+200+2200+55+660+55+110+55+55+55+2217.24+266.03</f>
        <v>6258.2699999999995</v>
      </c>
      <c r="I70" s="226">
        <f>55+55+55+55+55+165+2200+165+110+55+55+55+2697.18+55+55+162.77+275</f>
        <v>6324.950000000001</v>
      </c>
      <c r="J70" s="226">
        <f>300+2200+55+55+330+55+55+1473.28+45.76+110+254.24+55+55+407.46+275</f>
        <v>5725.74</v>
      </c>
      <c r="K70" s="226">
        <f>2200+165+1212.21+55+55+55+220+110+2310.23+55+110+55+139.97</f>
        <v>6742.410000000001</v>
      </c>
      <c r="L70" s="226">
        <f>2200+110+55+220+55+55+55+220+55+110+55+55+85+2721.79+55</f>
        <v>6106.79</v>
      </c>
      <c r="M70" s="226">
        <f>2200+110+150+110+275+55+110+55+289.5+55+165+2509.64+55</f>
        <v>6139.139999999999</v>
      </c>
      <c r="N70" s="226">
        <f>2200+110+165+55+110+110+55+55+55+55+2000+55</f>
        <v>5025</v>
      </c>
      <c r="O70" s="226">
        <f>1900+2579.4+55+275+55+55+110+55+55</f>
        <v>5139.4</v>
      </c>
      <c r="P70" s="229">
        <f>165+1900+2636.91+110+165+55+237.89+220+55+55+2623.15+275</f>
        <v>8497.95</v>
      </c>
      <c r="Q70" s="214">
        <f>SUM(E70:P70)</f>
        <v>72963.32</v>
      </c>
      <c r="R70" s="234">
        <f t="shared" si="10"/>
        <v>-27036.679999999993</v>
      </c>
      <c r="S70" s="155">
        <v>100000</v>
      </c>
    </row>
    <row r="71" spans="1:19" ht="15">
      <c r="A71" s="165" t="s">
        <v>66</v>
      </c>
      <c r="B71" s="168" t="s">
        <v>67</v>
      </c>
      <c r="C71" s="167" t="s">
        <v>42</v>
      </c>
      <c r="D71" s="154">
        <f>SUM(D72:D74)</f>
        <v>5630000</v>
      </c>
      <c r="E71" s="224">
        <f>SUM(E72:E74)</f>
        <v>419357.37</v>
      </c>
      <c r="F71" s="231">
        <f>SUM(F72:F74)</f>
        <v>561837.5</v>
      </c>
      <c r="G71" s="231">
        <f>SUM(G72:G74)</f>
        <v>505052.43999999994</v>
      </c>
      <c r="H71" s="231">
        <f aca="true" t="shared" si="12" ref="H71:P71">SUM(H72:H74)</f>
        <v>773295.69</v>
      </c>
      <c r="I71" s="231">
        <f t="shared" si="12"/>
        <v>596727.68</v>
      </c>
      <c r="J71" s="231">
        <f t="shared" si="12"/>
        <v>338640.51</v>
      </c>
      <c r="K71" s="231">
        <f t="shared" si="12"/>
        <v>179624.88</v>
      </c>
      <c r="L71" s="231">
        <f t="shared" si="12"/>
        <v>213461.5</v>
      </c>
      <c r="M71" s="231">
        <f t="shared" si="12"/>
        <v>244774.45</v>
      </c>
      <c r="N71" s="231">
        <f t="shared" si="12"/>
        <v>335273.27</v>
      </c>
      <c r="O71" s="231">
        <f t="shared" si="12"/>
        <v>425075.55</v>
      </c>
      <c r="P71" s="231">
        <f t="shared" si="12"/>
        <v>1011839.9199999999</v>
      </c>
      <c r="Q71" s="214">
        <f>SUM(Q72:Q74)</f>
        <v>5604960.76</v>
      </c>
      <c r="R71" s="232">
        <f t="shared" si="10"/>
        <v>-25039.240000000224</v>
      </c>
      <c r="S71" s="154">
        <f>SUM(S72:S74)</f>
        <v>5630000</v>
      </c>
    </row>
    <row r="72" spans="1:19" ht="14.25">
      <c r="A72" s="165"/>
      <c r="B72" s="170" t="s">
        <v>68</v>
      </c>
      <c r="C72" s="167" t="s">
        <v>42</v>
      </c>
      <c r="D72" s="155">
        <v>980000</v>
      </c>
      <c r="E72" s="224">
        <f>58921.37</f>
        <v>58921.37</v>
      </c>
      <c r="F72" s="231">
        <f>15192.16+43852.27</f>
        <v>59044.42999999999</v>
      </c>
      <c r="G72" s="231">
        <f>67296.58+17664.09</f>
        <v>84960.67</v>
      </c>
      <c r="H72" s="233">
        <f>54954.67+13851.25+16898.94</f>
        <v>85704.86</v>
      </c>
      <c r="I72" s="233">
        <f>64076.96+17516.65</f>
        <v>81593.61</v>
      </c>
      <c r="J72" s="233">
        <f>54923.11+50322.83+15623.69</f>
        <v>120869.63</v>
      </c>
      <c r="K72" s="233">
        <v>56271.94</v>
      </c>
      <c r="L72" s="233">
        <f>82361.52+7297.44+6870.21</f>
        <v>96529.17000000001</v>
      </c>
      <c r="M72" s="233">
        <f>44726.22+12930.06</f>
        <v>57656.28</v>
      </c>
      <c r="N72" s="233">
        <f>55903.02+13577.91</f>
        <v>69480.93</v>
      </c>
      <c r="O72" s="233">
        <f>62561.83+15785.12</f>
        <v>78346.95</v>
      </c>
      <c r="P72" s="229">
        <f>56438.23</f>
        <v>56438.23</v>
      </c>
      <c r="Q72" s="214">
        <f>SUM(E72:P72)</f>
        <v>905818.0700000001</v>
      </c>
      <c r="R72" s="234">
        <f t="shared" si="10"/>
        <v>-74181.92999999993</v>
      </c>
      <c r="S72" s="155">
        <v>980000</v>
      </c>
    </row>
    <row r="73" spans="1:19" ht="14.25">
      <c r="A73" s="165"/>
      <c r="B73" s="170" t="s">
        <v>137</v>
      </c>
      <c r="C73" s="167" t="s">
        <v>42</v>
      </c>
      <c r="D73" s="155">
        <v>2850000</v>
      </c>
      <c r="E73" s="224">
        <f>219642.45</f>
        <v>219642.45</v>
      </c>
      <c r="F73" s="231">
        <v>346718.65</v>
      </c>
      <c r="G73" s="231">
        <f>278777.61</f>
        <v>278777.61</v>
      </c>
      <c r="H73" s="233">
        <f>178151.35+55207.1+159692.3+172537.73</f>
        <v>565588.48</v>
      </c>
      <c r="I73" s="233">
        <f>159278.43+23325.01+6180.27+37909.33+125698.08+28539.03</f>
        <v>380930.15</v>
      </c>
      <c r="J73" s="233">
        <f>97268.04</f>
        <v>97268.04</v>
      </c>
      <c r="K73" s="233"/>
      <c r="L73" s="233">
        <v>13482.33</v>
      </c>
      <c r="M73" s="233">
        <f>45508.79+29599.49</f>
        <v>75108.28</v>
      </c>
      <c r="N73" s="233">
        <f>83676.14+56637.82</f>
        <v>140313.96</v>
      </c>
      <c r="O73" s="233">
        <f>210371.71</f>
        <v>210371.71</v>
      </c>
      <c r="P73" s="229">
        <v>809451.88</v>
      </c>
      <c r="Q73" s="214">
        <f>SUM(E73:P73)</f>
        <v>3137653.54</v>
      </c>
      <c r="R73" s="234">
        <f t="shared" si="10"/>
        <v>287653.54000000004</v>
      </c>
      <c r="S73" s="155">
        <v>2850000</v>
      </c>
    </row>
    <row r="74" spans="1:19" ht="14.25">
      <c r="A74" s="165"/>
      <c r="B74" s="170" t="s">
        <v>71</v>
      </c>
      <c r="C74" s="167" t="s">
        <v>42</v>
      </c>
      <c r="D74" s="155">
        <v>1800000</v>
      </c>
      <c r="E74" s="224">
        <f>140793.55</f>
        <v>140793.55</v>
      </c>
      <c r="F74" s="231">
        <f>156074.42</f>
        <v>156074.42</v>
      </c>
      <c r="G74" s="231">
        <f>141314.16</f>
        <v>141314.16</v>
      </c>
      <c r="H74" s="233">
        <f>122002.35</f>
        <v>122002.35</v>
      </c>
      <c r="I74" s="233">
        <f>134203.92</f>
        <v>134203.92</v>
      </c>
      <c r="J74" s="233">
        <v>120502.84</v>
      </c>
      <c r="K74" s="233">
        <v>123352.94</v>
      </c>
      <c r="L74" s="233">
        <v>103450</v>
      </c>
      <c r="M74" s="233">
        <v>112009.89</v>
      </c>
      <c r="N74" s="233">
        <f>125478.38</f>
        <v>125478.38</v>
      </c>
      <c r="O74" s="233">
        <v>136356.89</v>
      </c>
      <c r="P74" s="229">
        <f>145949.81</f>
        <v>145949.81</v>
      </c>
      <c r="Q74" s="214">
        <f>SUM(E74:P74)</f>
        <v>1561489.15</v>
      </c>
      <c r="R74" s="234">
        <f t="shared" si="10"/>
        <v>-238510.8500000001</v>
      </c>
      <c r="S74" s="155">
        <v>1800000</v>
      </c>
    </row>
    <row r="75" spans="1:19" ht="15" thickBot="1">
      <c r="A75" s="165"/>
      <c r="B75" s="171" t="s">
        <v>126</v>
      </c>
      <c r="C75" s="167"/>
      <c r="D75" s="172"/>
      <c r="E75" s="236"/>
      <c r="F75" s="237">
        <f>56000+576.83+115365.34+55+14000+13800</f>
        <v>199797.16999999998</v>
      </c>
      <c r="G75" s="237">
        <f>55000</f>
        <v>55000</v>
      </c>
      <c r="H75" s="238"/>
      <c r="I75" s="238"/>
      <c r="J75" s="238"/>
      <c r="K75" s="238"/>
      <c r="L75" s="238"/>
      <c r="M75" s="238"/>
      <c r="N75" s="238"/>
      <c r="O75" s="238"/>
      <c r="P75" s="239"/>
      <c r="Q75" s="240">
        <f>SUM(E75:P75)</f>
        <v>254797.16999999998</v>
      </c>
      <c r="R75" s="241"/>
      <c r="S75" s="172"/>
    </row>
    <row r="76" spans="1:19" ht="15.75" thickBot="1">
      <c r="A76" s="173"/>
      <c r="B76" s="159" t="s">
        <v>74</v>
      </c>
      <c r="C76" s="160" t="s">
        <v>42</v>
      </c>
      <c r="D76" s="174">
        <f>SUM(D71+D69+D60+D33)</f>
        <v>13787653</v>
      </c>
      <c r="E76" s="242">
        <f aca="true" t="shared" si="13" ref="E76:P76">SUM(E33+E60+E69+E71)</f>
        <v>833586.76</v>
      </c>
      <c r="F76" s="243">
        <f t="shared" si="13"/>
        <v>959754.35</v>
      </c>
      <c r="G76" s="242">
        <f t="shared" si="13"/>
        <v>890871.1499999999</v>
      </c>
      <c r="H76" s="242">
        <f t="shared" si="13"/>
        <v>1312382.42</v>
      </c>
      <c r="I76" s="242">
        <f t="shared" si="13"/>
        <v>1099425.55</v>
      </c>
      <c r="J76" s="242">
        <f t="shared" si="13"/>
        <v>730041.03</v>
      </c>
      <c r="K76" s="242">
        <f t="shared" si="13"/>
        <v>871560.2</v>
      </c>
      <c r="L76" s="242">
        <f t="shared" si="13"/>
        <v>713239.72</v>
      </c>
      <c r="M76" s="242">
        <f t="shared" si="13"/>
        <v>857442.4100000001</v>
      </c>
      <c r="N76" s="242">
        <f t="shared" si="13"/>
        <v>872955.11</v>
      </c>
      <c r="O76" s="242">
        <f t="shared" si="13"/>
        <v>861842.3</v>
      </c>
      <c r="P76" s="242">
        <f t="shared" si="13"/>
        <v>1567556.1199999999</v>
      </c>
      <c r="Q76" s="244">
        <f>SUM(Q33+Q60+Q69+Q71)</f>
        <v>11597049.12</v>
      </c>
      <c r="R76" s="245">
        <v>-2190603.88</v>
      </c>
      <c r="S76" s="174">
        <f>SUM(S71+S69+S60+S33)</f>
        <v>13787653</v>
      </c>
    </row>
    <row r="77" spans="1:19" ht="15" thickBot="1">
      <c r="A77" s="175"/>
      <c r="B77" s="176"/>
      <c r="C77" s="177"/>
      <c r="D77" s="178"/>
      <c r="E77" s="177"/>
      <c r="F77" s="246">
        <f>F76+F75</f>
        <v>1159551.52</v>
      </c>
      <c r="G77" s="247">
        <f>G76+G75</f>
        <v>945871.1499999999</v>
      </c>
      <c r="H77" s="247"/>
      <c r="I77" s="247"/>
      <c r="J77" s="247"/>
      <c r="K77" s="247"/>
      <c r="L77" s="247"/>
      <c r="M77" s="247"/>
      <c r="N77" s="247"/>
      <c r="O77" s="247"/>
      <c r="P77" s="177"/>
      <c r="Q77" s="248"/>
      <c r="R77" s="249"/>
      <c r="S77" s="178"/>
    </row>
    <row r="78" spans="1:19" ht="13.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</row>
    <row r="79" spans="1:19" ht="14.25">
      <c r="A79" s="140"/>
      <c r="B79" s="318" t="s">
        <v>151</v>
      </c>
      <c r="C79" s="318"/>
      <c r="D79" s="318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</row>
    <row r="80" spans="1:19" ht="14.25">
      <c r="A80" s="140"/>
      <c r="B80" s="318"/>
      <c r="C80" s="318"/>
      <c r="D80" s="318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</row>
    <row r="81" spans="1:19" ht="14.25">
      <c r="A81" s="140"/>
      <c r="B81" s="318"/>
      <c r="C81" s="318"/>
      <c r="D81" s="318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</row>
    <row r="82" spans="1:19" ht="14.25">
      <c r="A82" s="140"/>
      <c r="B82" s="318" t="s">
        <v>157</v>
      </c>
      <c r="C82" s="318"/>
      <c r="D82" s="318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</row>
    <row r="83" spans="1:19" ht="14.25">
      <c r="A83" s="140"/>
      <c r="B83" s="318"/>
      <c r="C83" s="318"/>
      <c r="D83" s="318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</row>
    <row r="84" spans="1:19" ht="14.25">
      <c r="A84" s="140"/>
      <c r="B84" s="318"/>
      <c r="C84" s="318"/>
      <c r="D84" s="318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</row>
    <row r="85" spans="1:19" ht="14.25">
      <c r="A85" s="140"/>
      <c r="B85" s="318"/>
      <c r="C85" s="318"/>
      <c r="D85" s="318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</row>
    <row r="86" spans="1:19" ht="14.25">
      <c r="A86" s="140"/>
      <c r="B86" s="250"/>
      <c r="C86" s="250"/>
      <c r="D86" s="25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</row>
    <row r="87" spans="1:19" ht="14.25">
      <c r="A87" s="140"/>
      <c r="B87" s="250"/>
      <c r="C87" s="250"/>
      <c r="D87" s="25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</row>
    <row r="88" spans="1:19" ht="14.25">
      <c r="A88" s="140"/>
      <c r="B88" s="250"/>
      <c r="C88" s="250"/>
      <c r="D88" s="25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</row>
    <row r="89" spans="1:19" ht="14.25">
      <c r="A89" s="140"/>
      <c r="B89" s="318" t="s">
        <v>153</v>
      </c>
      <c r="C89" s="140"/>
      <c r="D89" s="140" t="s">
        <v>142</v>
      </c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</row>
    <row r="90" spans="1:19" ht="14.25">
      <c r="A90" s="140"/>
      <c r="B90" s="318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</row>
    <row r="91" spans="1:19" ht="14.25">
      <c r="A91" s="140"/>
      <c r="B91" s="25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</row>
    <row r="92" spans="1:19" ht="14.25">
      <c r="A92" s="140"/>
      <c r="B92" s="250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</row>
    <row r="93" spans="1:19" ht="14.25">
      <c r="A93" s="140"/>
      <c r="B93" s="140" t="s">
        <v>143</v>
      </c>
      <c r="C93" s="140"/>
      <c r="D93" s="140" t="s">
        <v>152</v>
      </c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</row>
    <row r="94" spans="1:19" ht="14.25">
      <c r="A94" s="140"/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</row>
    <row r="95" spans="1:19" ht="14.25">
      <c r="A95" s="140"/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</row>
    <row r="96" spans="1:19" ht="14.25">
      <c r="A96" s="140"/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</row>
    <row r="97" spans="1:19" ht="14.25">
      <c r="A97" s="140"/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</row>
    <row r="98" spans="1:19" ht="14.25">
      <c r="A98" s="140"/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</row>
    <row r="99" spans="1:19" ht="14.25">
      <c r="A99" s="140"/>
      <c r="B99" s="140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</row>
    <row r="100" spans="1:19" ht="14.25">
      <c r="A100" s="140"/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</row>
    <row r="101" spans="1:19" ht="14.25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</row>
    <row r="102" spans="1:19" ht="14.25">
      <c r="A102" s="140"/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</row>
    <row r="103" spans="1:19" ht="14.25">
      <c r="A103" s="140"/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</row>
    <row r="104" spans="1:19" ht="14.25">
      <c r="A104" s="140"/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</row>
    <row r="105" spans="1:19" ht="14.25">
      <c r="A105" s="140"/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</row>
    <row r="106" spans="1:19" ht="14.25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</row>
    <row r="107" spans="1:19" ht="14.25">
      <c r="A107" s="140"/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</row>
    <row r="108" spans="1:19" ht="14.25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</row>
    <row r="109" spans="1:19" ht="14.25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</row>
    <row r="110" spans="1:19" ht="14.25">
      <c r="A110" s="140"/>
      <c r="B110" s="140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</row>
    <row r="111" spans="1:19" ht="14.25">
      <c r="A111" s="140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</row>
    <row r="112" spans="1:19" ht="14.25">
      <c r="A112" s="140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</row>
    <row r="113" spans="1:19" ht="14.25">
      <c r="A113" s="140"/>
      <c r="B113" s="140"/>
      <c r="C113" s="140"/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</row>
    <row r="114" spans="1:19" ht="14.25">
      <c r="A114" s="140"/>
      <c r="B114" s="140"/>
      <c r="C114" s="140"/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</row>
    <row r="115" spans="1:19" ht="14.25">
      <c r="A115" s="140"/>
      <c r="B115" s="140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</row>
    <row r="116" spans="1:19" ht="14.25">
      <c r="A116" s="140"/>
      <c r="B116" s="140"/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</row>
    <row r="117" spans="1:19" ht="14.25">
      <c r="A117" s="140"/>
      <c r="B117" s="140"/>
      <c r="C117" s="140"/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</row>
    <row r="118" spans="1:19" ht="14.25">
      <c r="A118" s="140"/>
      <c r="B118" s="140"/>
      <c r="C118" s="140"/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</row>
    <row r="119" spans="1:19" ht="14.25">
      <c r="A119" s="140"/>
      <c r="B119" s="140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</row>
    <row r="120" spans="1:19" ht="14.25">
      <c r="A120" s="140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</row>
    <row r="121" spans="1:19" ht="14.25">
      <c r="A121" s="140"/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</row>
    <row r="122" spans="1:19" ht="14.25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</row>
    <row r="123" spans="1:19" ht="14.25">
      <c r="A123" s="140"/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</row>
    <row r="124" spans="1:19" ht="14.2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</row>
    <row r="125" spans="1:19" ht="14.25">
      <c r="A125" s="140"/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</row>
    <row r="126" spans="1:19" ht="14.25">
      <c r="A126" s="140"/>
      <c r="B126" s="140"/>
      <c r="C126" s="140"/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</row>
    <row r="127" spans="1:19" ht="14.25">
      <c r="A127" s="140"/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</row>
    <row r="128" spans="1:19" ht="14.25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</row>
    <row r="129" spans="1:19" ht="14.25">
      <c r="A129" s="140"/>
      <c r="B129" s="140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</row>
    <row r="130" spans="1:19" ht="14.25">
      <c r="A130" s="140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</row>
    <row r="131" spans="1:19" ht="14.25">
      <c r="A131" s="140"/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</row>
    <row r="132" spans="1:19" ht="14.25">
      <c r="A132" s="140"/>
      <c r="B132" s="140"/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</row>
    <row r="133" spans="1:19" ht="14.25">
      <c r="A133" s="140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</row>
    <row r="134" spans="1:19" ht="14.25">
      <c r="A134" s="140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</row>
    <row r="135" spans="1:19" ht="14.25">
      <c r="A135" s="140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</row>
    <row r="136" spans="1:19" ht="14.25">
      <c r="A136" s="140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</row>
    <row r="137" spans="1:19" ht="14.25">
      <c r="A137" s="140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</row>
    <row r="138" spans="1:19" ht="14.25">
      <c r="A138" s="140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</row>
    <row r="139" spans="1:19" ht="14.25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</row>
    <row r="140" spans="1:19" ht="14.25">
      <c r="A140" s="140"/>
      <c r="B140" s="140"/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</row>
    <row r="141" spans="1:19" ht="14.25">
      <c r="A141" s="140"/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</row>
    <row r="142" spans="1:19" ht="14.25">
      <c r="A142" s="140"/>
      <c r="B142" s="140"/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</row>
    <row r="143" spans="1:19" ht="14.25">
      <c r="A143" s="140"/>
      <c r="B143" s="140"/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</row>
    <row r="144" spans="1:19" ht="14.25">
      <c r="A144" s="140"/>
      <c r="B144" s="140"/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</row>
    <row r="145" spans="1:19" ht="14.25">
      <c r="A145" s="140"/>
      <c r="B145" s="140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</row>
    <row r="146" spans="1:19" ht="14.25">
      <c r="A146" s="140"/>
      <c r="B146" s="140"/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</row>
    <row r="147" spans="1:19" ht="14.25">
      <c r="A147" s="140"/>
      <c r="B147" s="140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</row>
    <row r="148" spans="1:19" ht="14.25">
      <c r="A148" s="140"/>
      <c r="B148" s="140"/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</row>
    <row r="149" spans="1:19" ht="14.25">
      <c r="A149" s="140"/>
      <c r="B149" s="140"/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</row>
    <row r="150" spans="1:19" ht="14.25">
      <c r="A150" s="140"/>
      <c r="B150" s="140"/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</row>
    <row r="151" spans="1:19" ht="14.25">
      <c r="A151" s="140"/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</row>
    <row r="152" spans="1:19" ht="14.25">
      <c r="A152" s="140"/>
      <c r="B152" s="140"/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</row>
    <row r="153" spans="1:19" ht="14.25">
      <c r="A153" s="140"/>
      <c r="B153" s="140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</row>
    <row r="154" spans="1:19" ht="14.25">
      <c r="A154" s="140"/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</row>
    <row r="155" spans="1:19" ht="14.25">
      <c r="A155" s="140"/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</row>
    <row r="156" spans="1:19" ht="14.25">
      <c r="A156" s="140"/>
      <c r="B156" s="140"/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</row>
    <row r="157" spans="1:19" ht="14.25">
      <c r="A157" s="140"/>
      <c r="B157" s="140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</row>
    <row r="158" spans="1:19" ht="14.25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</row>
    <row r="159" spans="1:19" ht="14.25">
      <c r="A159" s="140"/>
      <c r="B159" s="140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</row>
    <row r="160" spans="1:19" ht="14.25">
      <c r="A160" s="140"/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</row>
    <row r="161" spans="1:19" ht="14.25">
      <c r="A161" s="140"/>
      <c r="B161" s="140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</row>
    <row r="162" spans="1:19" ht="14.25">
      <c r="A162" s="140"/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</row>
    <row r="163" spans="1:19" ht="14.25">
      <c r="A163" s="140"/>
      <c r="B163" s="140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</row>
    <row r="164" spans="1:19" ht="14.25">
      <c r="A164" s="140"/>
      <c r="B164" s="140"/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</row>
    <row r="165" spans="1:19" ht="14.25">
      <c r="A165" s="140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</row>
  </sheetData>
  <sheetProtection/>
  <mergeCells count="4">
    <mergeCell ref="B89:B90"/>
    <mergeCell ref="C7:D10"/>
    <mergeCell ref="B79:D81"/>
    <mergeCell ref="B82:D85"/>
  </mergeCells>
  <printOptions/>
  <pageMargins left="0.75" right="0.75" top="1" bottom="1" header="0.5" footer="0.5"/>
  <pageSetup fitToHeight="2" fitToWidth="1" horizontalDpi="600" verticalDpi="6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zoomScalePageLayoutView="0" workbookViewId="0" topLeftCell="A64">
      <selection activeCell="E29" sqref="E29"/>
    </sheetView>
  </sheetViews>
  <sheetFormatPr defaultColWidth="9.00390625" defaultRowHeight="12.75"/>
  <cols>
    <col min="2" max="2" width="57.75390625" style="0" customWidth="1"/>
    <col min="3" max="3" width="13.00390625" style="0" customWidth="1"/>
    <col min="4" max="4" width="23.875" style="0" customWidth="1"/>
    <col min="5" max="5" width="19.875" style="0" customWidth="1"/>
    <col min="7" max="7" width="17.625" style="0" customWidth="1"/>
    <col min="8" max="8" width="17.00390625" style="0" customWidth="1"/>
  </cols>
  <sheetData>
    <row r="2" spans="2:4" ht="12.75">
      <c r="B2" t="s">
        <v>109</v>
      </c>
      <c r="C2" s="321" t="s">
        <v>145</v>
      </c>
      <c r="D2" s="321"/>
    </row>
    <row r="3" spans="2:4" ht="12.75">
      <c r="B3" t="s">
        <v>3</v>
      </c>
      <c r="C3" s="321"/>
      <c r="D3" s="321"/>
    </row>
    <row r="4" spans="3:4" ht="39" customHeight="1">
      <c r="C4" s="321"/>
      <c r="D4" s="321"/>
    </row>
    <row r="5" spans="1:4" ht="15" customHeight="1" thickBot="1">
      <c r="A5" t="s">
        <v>113</v>
      </c>
      <c r="C5" s="322"/>
      <c r="D5" s="322"/>
    </row>
    <row r="6" spans="1:4" ht="13.5" thickBot="1">
      <c r="A6" s="5" t="s">
        <v>5</v>
      </c>
      <c r="B6" s="6" t="s">
        <v>6</v>
      </c>
      <c r="C6" s="35" t="s">
        <v>7</v>
      </c>
      <c r="D6" s="127" t="s">
        <v>90</v>
      </c>
    </row>
    <row r="7" spans="1:4" ht="12.75">
      <c r="A7" s="4">
        <v>1</v>
      </c>
      <c r="B7" s="9" t="s">
        <v>16</v>
      </c>
      <c r="C7" s="136"/>
      <c r="D7" s="102"/>
    </row>
    <row r="8" spans="1:4" ht="12.75">
      <c r="A8" s="7" t="s">
        <v>13</v>
      </c>
      <c r="B8" s="10" t="s">
        <v>17</v>
      </c>
      <c r="C8" s="137" t="s">
        <v>20</v>
      </c>
      <c r="D8" s="39">
        <v>18858</v>
      </c>
    </row>
    <row r="9" spans="1:4" ht="12.75">
      <c r="A9" s="7" t="s">
        <v>14</v>
      </c>
      <c r="B9" s="10" t="s">
        <v>18</v>
      </c>
      <c r="C9" s="137" t="s">
        <v>20</v>
      </c>
      <c r="D9" s="39">
        <v>1019</v>
      </c>
    </row>
    <row r="10" spans="1:4" ht="12.75">
      <c r="A10" s="7" t="s">
        <v>15</v>
      </c>
      <c r="B10" s="10" t="s">
        <v>19</v>
      </c>
      <c r="C10" s="137" t="s">
        <v>21</v>
      </c>
      <c r="D10" s="39">
        <v>546</v>
      </c>
    </row>
    <row r="11" spans="1:4" ht="12.75">
      <c r="A11" s="7"/>
      <c r="B11" s="10"/>
      <c r="C11" s="137"/>
      <c r="D11" s="39"/>
    </row>
    <row r="12" spans="1:4" ht="12.75">
      <c r="A12" s="7" t="s">
        <v>22</v>
      </c>
      <c r="B12" s="10" t="s">
        <v>24</v>
      </c>
      <c r="C12" s="137"/>
      <c r="D12" s="39"/>
    </row>
    <row r="13" spans="1:4" ht="12.75">
      <c r="A13" s="7" t="s">
        <v>23</v>
      </c>
      <c r="B13" s="68" t="s">
        <v>25</v>
      </c>
      <c r="C13" s="137" t="s">
        <v>42</v>
      </c>
      <c r="D13" s="105">
        <f>SUM(D14:D14)</f>
        <v>4038000</v>
      </c>
    </row>
    <row r="14" spans="1:4" ht="12.75">
      <c r="A14" s="7"/>
      <c r="B14" s="10" t="s">
        <v>26</v>
      </c>
      <c r="C14" s="137" t="s">
        <v>42</v>
      </c>
      <c r="D14" s="104">
        <v>4038000</v>
      </c>
    </row>
    <row r="15" spans="1:4" ht="12.75">
      <c r="A15" s="7"/>
      <c r="B15" s="10"/>
      <c r="C15" s="137"/>
      <c r="D15" s="39"/>
    </row>
    <row r="16" spans="1:4" ht="12.75">
      <c r="A16" s="7" t="s">
        <v>27</v>
      </c>
      <c r="B16" s="68" t="s">
        <v>28</v>
      </c>
      <c r="C16" s="137" t="s">
        <v>42</v>
      </c>
      <c r="D16" s="105">
        <f>SUM(D17:D21)</f>
        <v>6350000</v>
      </c>
    </row>
    <row r="17" spans="1:4" ht="12.75">
      <c r="A17" s="7"/>
      <c r="B17" s="10" t="s">
        <v>29</v>
      </c>
      <c r="C17" s="137" t="s">
        <v>42</v>
      </c>
      <c r="D17" s="104">
        <v>500000</v>
      </c>
    </row>
    <row r="18" spans="1:4" ht="12.75">
      <c r="A18" s="7"/>
      <c r="B18" s="10" t="s">
        <v>30</v>
      </c>
      <c r="C18" s="137" t="s">
        <v>42</v>
      </c>
      <c r="D18" s="104">
        <v>400000</v>
      </c>
    </row>
    <row r="19" spans="1:4" ht="12.75">
      <c r="A19" s="7"/>
      <c r="B19" s="10" t="s">
        <v>31</v>
      </c>
      <c r="C19" s="137" t="s">
        <v>42</v>
      </c>
      <c r="D19" s="104">
        <v>1000000</v>
      </c>
    </row>
    <row r="20" spans="1:4" ht="12.75">
      <c r="A20" s="7"/>
      <c r="B20" s="10" t="s">
        <v>32</v>
      </c>
      <c r="C20" s="137" t="s">
        <v>42</v>
      </c>
      <c r="D20" s="104">
        <v>2700000</v>
      </c>
    </row>
    <row r="21" spans="1:4" ht="12.75">
      <c r="A21" s="7"/>
      <c r="B21" s="10" t="s">
        <v>39</v>
      </c>
      <c r="C21" s="137" t="s">
        <v>42</v>
      </c>
      <c r="D21" s="104">
        <v>1750000</v>
      </c>
    </row>
    <row r="22" spans="1:4" ht="12.75">
      <c r="A22" s="7" t="s">
        <v>33</v>
      </c>
      <c r="B22" s="109" t="s">
        <v>92</v>
      </c>
      <c r="C22" s="137" t="s">
        <v>42</v>
      </c>
      <c r="D22" s="105">
        <v>750000</v>
      </c>
    </row>
    <row r="23" spans="1:4" ht="12.75">
      <c r="A23" s="7" t="s">
        <v>35</v>
      </c>
      <c r="B23" s="68" t="s">
        <v>78</v>
      </c>
      <c r="C23" s="137" t="s">
        <v>42</v>
      </c>
      <c r="D23" s="105">
        <v>240000</v>
      </c>
    </row>
    <row r="24" spans="1:4" ht="12.75">
      <c r="A24" s="7" t="s">
        <v>36</v>
      </c>
      <c r="B24" s="68" t="s">
        <v>40</v>
      </c>
      <c r="C24" s="137" t="s">
        <v>42</v>
      </c>
      <c r="D24" s="105">
        <v>838800</v>
      </c>
    </row>
    <row r="25" spans="1:4" ht="13.5" thickBot="1">
      <c r="A25" s="7" t="s">
        <v>37</v>
      </c>
      <c r="B25" s="68" t="s">
        <v>115</v>
      </c>
      <c r="C25" s="137" t="s">
        <v>42</v>
      </c>
      <c r="D25" s="118">
        <v>1579000</v>
      </c>
    </row>
    <row r="26" spans="1:4" ht="13.5" thickBot="1">
      <c r="A26" s="23"/>
      <c r="B26" s="24" t="s">
        <v>43</v>
      </c>
      <c r="C26" s="138" t="s">
        <v>42</v>
      </c>
      <c r="D26" s="108">
        <f>D13+D16+D23+D24+D22+D25</f>
        <v>13795800</v>
      </c>
    </row>
    <row r="27" spans="1:4" ht="12.75">
      <c r="A27" s="7" t="s">
        <v>44</v>
      </c>
      <c r="B27" s="68" t="s">
        <v>45</v>
      </c>
      <c r="C27" s="137"/>
      <c r="D27" s="102"/>
    </row>
    <row r="28" spans="1:4" ht="12.75">
      <c r="A28" s="7" t="s">
        <v>46</v>
      </c>
      <c r="B28" s="68" t="s">
        <v>47</v>
      </c>
      <c r="C28" s="137" t="s">
        <v>42</v>
      </c>
      <c r="D28" s="105">
        <f>SUM(D29:D54)</f>
        <v>5637653</v>
      </c>
    </row>
    <row r="29" spans="1:4" ht="12.75">
      <c r="A29" s="7"/>
      <c r="B29" s="86" t="s">
        <v>48</v>
      </c>
      <c r="C29" s="137" t="s">
        <v>42</v>
      </c>
      <c r="D29" s="104">
        <v>1782790</v>
      </c>
    </row>
    <row r="30" spans="1:4" ht="12.75">
      <c r="A30" s="135"/>
      <c r="B30" s="86" t="s">
        <v>135</v>
      </c>
      <c r="C30" s="137" t="s">
        <v>42</v>
      </c>
      <c r="D30" s="104"/>
    </row>
    <row r="31" spans="1:4" ht="12.75">
      <c r="A31" s="135"/>
      <c r="B31" s="86" t="s">
        <v>134</v>
      </c>
      <c r="C31" s="137" t="s">
        <v>42</v>
      </c>
      <c r="D31" s="104"/>
    </row>
    <row r="32" spans="1:4" ht="12.75">
      <c r="A32" s="7"/>
      <c r="B32" s="86" t="s">
        <v>49</v>
      </c>
      <c r="C32" s="137" t="s">
        <v>42</v>
      </c>
      <c r="D32" s="104">
        <v>945588</v>
      </c>
    </row>
    <row r="33" spans="1:4" ht="12.75">
      <c r="A33" s="135"/>
      <c r="B33" s="86" t="s">
        <v>136</v>
      </c>
      <c r="C33" s="137" t="s">
        <v>42</v>
      </c>
      <c r="D33" s="104"/>
    </row>
    <row r="34" spans="1:4" ht="12.75">
      <c r="A34" s="7"/>
      <c r="B34" s="86" t="s">
        <v>50</v>
      </c>
      <c r="C34" s="137" t="s">
        <v>42</v>
      </c>
      <c r="D34" s="104">
        <v>110000</v>
      </c>
    </row>
    <row r="35" spans="1:4" ht="12.75">
      <c r="A35" s="7"/>
      <c r="B35" s="86" t="s">
        <v>51</v>
      </c>
      <c r="C35" s="137" t="s">
        <v>42</v>
      </c>
      <c r="D35" s="104">
        <v>80000</v>
      </c>
    </row>
    <row r="36" spans="1:4" ht="12.75">
      <c r="A36" s="7"/>
      <c r="B36" s="86" t="s">
        <v>79</v>
      </c>
      <c r="C36" s="137" t="s">
        <v>42</v>
      </c>
      <c r="D36" s="104">
        <v>1112275</v>
      </c>
    </row>
    <row r="37" spans="1:4" ht="12.75">
      <c r="A37" s="7"/>
      <c r="B37" s="86" t="s">
        <v>52</v>
      </c>
      <c r="C37" s="137" t="s">
        <v>42</v>
      </c>
      <c r="D37" s="104">
        <v>60000</v>
      </c>
    </row>
    <row r="38" spans="1:4" ht="12.75">
      <c r="A38" s="7"/>
      <c r="B38" s="86" t="s">
        <v>53</v>
      </c>
      <c r="C38" s="137" t="s">
        <v>42</v>
      </c>
      <c r="D38" s="104">
        <v>46000</v>
      </c>
    </row>
    <row r="39" spans="1:4" ht="12.75">
      <c r="A39" s="135"/>
      <c r="B39" s="86" t="s">
        <v>138</v>
      </c>
      <c r="C39" s="137" t="s">
        <v>42</v>
      </c>
      <c r="D39" s="104"/>
    </row>
    <row r="40" spans="1:4" ht="12.75">
      <c r="A40" s="7"/>
      <c r="B40" s="86" t="s">
        <v>54</v>
      </c>
      <c r="C40" s="137" t="s">
        <v>42</v>
      </c>
      <c r="D40" s="104">
        <v>270000</v>
      </c>
    </row>
    <row r="41" spans="1:4" ht="12.75">
      <c r="A41" s="7"/>
      <c r="B41" s="86" t="s">
        <v>140</v>
      </c>
      <c r="C41" s="137"/>
      <c r="D41" s="104"/>
    </row>
    <row r="42" spans="1:4" ht="12.75">
      <c r="A42" s="7"/>
      <c r="B42" s="115" t="s">
        <v>110</v>
      </c>
      <c r="C42" s="137" t="s">
        <v>42</v>
      </c>
      <c r="D42" s="104">
        <v>50000</v>
      </c>
    </row>
    <row r="43" spans="1:4" ht="12.75">
      <c r="A43" s="7"/>
      <c r="B43" s="86" t="s">
        <v>55</v>
      </c>
      <c r="C43" s="137" t="s">
        <v>42</v>
      </c>
      <c r="D43" s="104">
        <v>110000</v>
      </c>
    </row>
    <row r="44" spans="1:4" ht="12.75">
      <c r="A44" s="135"/>
      <c r="B44" s="115" t="s">
        <v>112</v>
      </c>
      <c r="C44" s="137" t="s">
        <v>42</v>
      </c>
      <c r="D44" s="104">
        <v>200000</v>
      </c>
    </row>
    <row r="45" spans="1:4" ht="12.75">
      <c r="A45" s="7"/>
      <c r="B45" s="86" t="s">
        <v>57</v>
      </c>
      <c r="C45" s="137" t="s">
        <v>42</v>
      </c>
      <c r="D45" s="104">
        <v>50000</v>
      </c>
    </row>
    <row r="46" spans="1:4" ht="12.75">
      <c r="A46" s="7"/>
      <c r="B46" s="86" t="s">
        <v>58</v>
      </c>
      <c r="C46" s="137" t="s">
        <v>42</v>
      </c>
      <c r="D46" s="104">
        <v>30000</v>
      </c>
    </row>
    <row r="47" spans="1:4" ht="12.75">
      <c r="A47" s="7"/>
      <c r="B47" s="75" t="s">
        <v>85</v>
      </c>
      <c r="C47" s="137" t="s">
        <v>42</v>
      </c>
      <c r="D47" s="104">
        <v>240000</v>
      </c>
    </row>
    <row r="48" spans="1:4" ht="12.75">
      <c r="A48" s="7"/>
      <c r="B48" s="75" t="s">
        <v>116</v>
      </c>
      <c r="C48" s="137" t="s">
        <v>42</v>
      </c>
      <c r="D48" s="104">
        <v>50000</v>
      </c>
    </row>
    <row r="49" spans="1:4" ht="12.75">
      <c r="A49" s="11"/>
      <c r="B49" s="76" t="s">
        <v>59</v>
      </c>
      <c r="C49" s="139" t="s">
        <v>42</v>
      </c>
      <c r="D49" s="104">
        <v>1000</v>
      </c>
    </row>
    <row r="50" spans="1:4" ht="12.75">
      <c r="A50" s="11"/>
      <c r="B50" s="76" t="s">
        <v>117</v>
      </c>
      <c r="C50" s="139" t="s">
        <v>42</v>
      </c>
      <c r="D50" s="104">
        <v>300000</v>
      </c>
    </row>
    <row r="51" spans="1:4" ht="12.75">
      <c r="A51" s="11"/>
      <c r="B51" s="76" t="s">
        <v>60</v>
      </c>
      <c r="C51" s="139" t="s">
        <v>42</v>
      </c>
      <c r="D51" s="104">
        <v>20000</v>
      </c>
    </row>
    <row r="52" spans="1:4" ht="12.75">
      <c r="A52" s="11"/>
      <c r="B52" s="76" t="s">
        <v>61</v>
      </c>
      <c r="C52" s="139" t="s">
        <v>42</v>
      </c>
      <c r="D52" s="104">
        <v>50000</v>
      </c>
    </row>
    <row r="53" spans="1:4" ht="12.75">
      <c r="A53" s="11"/>
      <c r="B53" s="76" t="s">
        <v>77</v>
      </c>
      <c r="C53" s="139" t="s">
        <v>42</v>
      </c>
      <c r="D53" s="104">
        <v>100000</v>
      </c>
    </row>
    <row r="54" spans="1:4" ht="12.75">
      <c r="A54" s="11"/>
      <c r="B54" s="76" t="s">
        <v>87</v>
      </c>
      <c r="C54" s="139" t="s">
        <v>42</v>
      </c>
      <c r="D54" s="104">
        <v>30000</v>
      </c>
    </row>
    <row r="55" spans="1:4" ht="12.75">
      <c r="A55" s="11" t="s">
        <v>62</v>
      </c>
      <c r="B55" s="67" t="s">
        <v>63</v>
      </c>
      <c r="C55" s="139" t="s">
        <v>42</v>
      </c>
      <c r="D55" s="105">
        <f>SUM(D56:D63)</f>
        <v>2420000</v>
      </c>
    </row>
    <row r="56" spans="1:4" ht="12.75">
      <c r="A56" s="11"/>
      <c r="B56" s="66" t="s">
        <v>120</v>
      </c>
      <c r="C56" s="139" t="s">
        <v>42</v>
      </c>
      <c r="D56" s="104">
        <v>200000</v>
      </c>
    </row>
    <row r="57" spans="1:4" ht="25.5">
      <c r="A57" s="11"/>
      <c r="B57" s="66" t="s">
        <v>121</v>
      </c>
      <c r="C57" s="139" t="s">
        <v>42</v>
      </c>
      <c r="D57" s="104">
        <v>80000</v>
      </c>
    </row>
    <row r="58" spans="1:4" ht="25.5">
      <c r="A58" s="11"/>
      <c r="B58" s="66" t="s">
        <v>84</v>
      </c>
      <c r="C58" s="139" t="s">
        <v>42</v>
      </c>
      <c r="D58" s="104">
        <v>80000</v>
      </c>
    </row>
    <row r="59" spans="1:4" ht="38.25">
      <c r="A59" s="11"/>
      <c r="B59" s="66" t="s">
        <v>139</v>
      </c>
      <c r="C59" s="139" t="s">
        <v>42</v>
      </c>
      <c r="D59" s="104">
        <v>900000</v>
      </c>
    </row>
    <row r="60" spans="1:4" ht="12.75">
      <c r="A60" s="11"/>
      <c r="B60" s="66" t="s">
        <v>122</v>
      </c>
      <c r="C60" s="139" t="s">
        <v>42</v>
      </c>
      <c r="D60" s="104">
        <v>120000</v>
      </c>
    </row>
    <row r="61" spans="1:4" ht="12.75">
      <c r="A61" s="11"/>
      <c r="B61" s="66" t="s">
        <v>119</v>
      </c>
      <c r="C61" s="139" t="s">
        <v>42</v>
      </c>
      <c r="D61" s="104">
        <v>180000</v>
      </c>
    </row>
    <row r="62" spans="1:4" ht="25.5">
      <c r="A62" s="11"/>
      <c r="B62" s="66" t="s">
        <v>123</v>
      </c>
      <c r="C62" s="139" t="s">
        <v>42</v>
      </c>
      <c r="D62" s="104">
        <v>160000</v>
      </c>
    </row>
    <row r="63" spans="1:4" ht="12.75">
      <c r="A63" s="11"/>
      <c r="B63" s="66" t="s">
        <v>118</v>
      </c>
      <c r="C63" s="139" t="s">
        <v>42</v>
      </c>
      <c r="D63" s="104">
        <v>700000</v>
      </c>
    </row>
    <row r="64" spans="1:4" ht="12.75">
      <c r="A64" s="11" t="s">
        <v>64</v>
      </c>
      <c r="B64" s="67" t="s">
        <v>65</v>
      </c>
      <c r="C64" s="139" t="s">
        <v>42</v>
      </c>
      <c r="D64" s="105">
        <f>SUM(D65)</f>
        <v>100000</v>
      </c>
    </row>
    <row r="65" spans="1:4" ht="12.75">
      <c r="A65" s="11"/>
      <c r="B65" s="133" t="s">
        <v>111</v>
      </c>
      <c r="C65" s="139" t="s">
        <v>42</v>
      </c>
      <c r="D65" s="104">
        <v>100000</v>
      </c>
    </row>
    <row r="66" spans="1:4" ht="12.75">
      <c r="A66" s="11" t="s">
        <v>66</v>
      </c>
      <c r="B66" s="67" t="s">
        <v>67</v>
      </c>
      <c r="C66" s="139" t="s">
        <v>42</v>
      </c>
      <c r="D66" s="105">
        <f>SUM(D67:D69)</f>
        <v>5630000</v>
      </c>
    </row>
    <row r="67" spans="1:4" ht="12.75">
      <c r="A67" s="11"/>
      <c r="B67" s="12" t="s">
        <v>68</v>
      </c>
      <c r="C67" s="139" t="s">
        <v>42</v>
      </c>
      <c r="D67" s="104">
        <v>980000</v>
      </c>
    </row>
    <row r="68" spans="1:4" ht="12.75">
      <c r="A68" s="11"/>
      <c r="B68" s="12" t="s">
        <v>137</v>
      </c>
      <c r="C68" s="139" t="s">
        <v>42</v>
      </c>
      <c r="D68" s="104">
        <v>2850000</v>
      </c>
    </row>
    <row r="69" spans="1:4" ht="12.75">
      <c r="A69" s="11"/>
      <c r="B69" s="12" t="s">
        <v>71</v>
      </c>
      <c r="C69" s="139" t="s">
        <v>42</v>
      </c>
      <c r="D69" s="104">
        <v>1800000</v>
      </c>
    </row>
    <row r="70" spans="1:4" ht="13.5" thickBot="1">
      <c r="A70" s="11"/>
      <c r="B70" s="134" t="s">
        <v>126</v>
      </c>
      <c r="C70" s="139"/>
      <c r="D70" s="106"/>
    </row>
    <row r="71" spans="1:4" ht="13.5" thickBot="1">
      <c r="A71" s="29"/>
      <c r="B71" s="24" t="s">
        <v>74</v>
      </c>
      <c r="C71" s="138" t="s">
        <v>42</v>
      </c>
      <c r="D71" s="107">
        <f>SUM(D66+D64+D55+D28)</f>
        <v>13787653</v>
      </c>
    </row>
    <row r="72" spans="1:4" ht="13.5" thickBot="1">
      <c r="A72" s="8"/>
      <c r="B72" s="30"/>
      <c r="C72" s="31"/>
      <c r="D72" s="101"/>
    </row>
    <row r="74" spans="2:4" ht="12.75">
      <c r="B74" t="s">
        <v>141</v>
      </c>
      <c r="D74" t="s">
        <v>142</v>
      </c>
    </row>
    <row r="77" spans="2:4" ht="12.75">
      <c r="B77" t="s">
        <v>143</v>
      </c>
      <c r="D77" t="s">
        <v>144</v>
      </c>
    </row>
  </sheetData>
  <sheetProtection/>
  <mergeCells count="1">
    <mergeCell ref="C2:D5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6"/>
  <sheetViews>
    <sheetView zoomScalePageLayoutView="0" workbookViewId="0" topLeftCell="A66">
      <selection activeCell="D28" sqref="D28"/>
    </sheetView>
  </sheetViews>
  <sheetFormatPr defaultColWidth="9.00390625" defaultRowHeight="12.75"/>
  <cols>
    <col min="1" max="1" width="5.00390625" style="0" customWidth="1"/>
    <col min="2" max="2" width="34.625" style="0" customWidth="1"/>
    <col min="3" max="3" width="5.375" style="0" customWidth="1"/>
    <col min="4" max="4" width="10.375" style="0" customWidth="1"/>
    <col min="5" max="5" width="12.00390625" style="0" customWidth="1"/>
    <col min="6" max="6" width="11.125" style="0" customWidth="1"/>
    <col min="7" max="7" width="11.375" style="0" customWidth="1"/>
    <col min="8" max="9" width="11.75390625" style="0" customWidth="1"/>
    <col min="10" max="10" width="11.125" style="0" customWidth="1"/>
    <col min="11" max="11" width="26.00390625" style="0" customWidth="1"/>
    <col min="12" max="12" width="14.00390625" style="0" customWidth="1"/>
    <col min="13" max="13" width="29.125" style="0" customWidth="1"/>
  </cols>
  <sheetData>
    <row r="1" ht="12.75" hidden="1"/>
    <row r="2" ht="12.75" hidden="1"/>
    <row r="4" ht="12.75">
      <c r="B4" t="s">
        <v>124</v>
      </c>
    </row>
    <row r="5" ht="12.75">
      <c r="B5" t="s">
        <v>3</v>
      </c>
    </row>
    <row r="7" spans="1:6" ht="13.5" thickBot="1">
      <c r="A7" t="s">
        <v>4</v>
      </c>
      <c r="F7" t="s">
        <v>12</v>
      </c>
    </row>
    <row r="8" spans="1:12" ht="39" thickBot="1">
      <c r="A8" s="5" t="s">
        <v>5</v>
      </c>
      <c r="B8" s="6" t="s">
        <v>6</v>
      </c>
      <c r="C8" s="35" t="s">
        <v>7</v>
      </c>
      <c r="D8" s="42" t="s">
        <v>8</v>
      </c>
      <c r="E8" s="50" t="s">
        <v>81</v>
      </c>
      <c r="F8" s="36" t="s">
        <v>82</v>
      </c>
      <c r="G8" s="37" t="s">
        <v>9</v>
      </c>
      <c r="H8" s="38" t="s">
        <v>10</v>
      </c>
      <c r="I8" s="48" t="s">
        <v>83</v>
      </c>
      <c r="J8" s="88" t="s">
        <v>11</v>
      </c>
      <c r="K8" s="103"/>
      <c r="L8" s="127" t="s">
        <v>90</v>
      </c>
    </row>
    <row r="9" spans="1:12" ht="12.75">
      <c r="A9" s="4">
        <v>1</v>
      </c>
      <c r="B9" s="110" t="s">
        <v>16</v>
      </c>
      <c r="C9" s="25"/>
      <c r="D9" s="43"/>
      <c r="E9" s="51"/>
      <c r="F9" s="13"/>
      <c r="G9" s="13"/>
      <c r="H9" s="14"/>
      <c r="I9" s="59"/>
      <c r="J9" s="89"/>
      <c r="K9" s="119"/>
      <c r="L9" s="102"/>
    </row>
    <row r="10" spans="1:12" ht="12.75">
      <c r="A10" s="7" t="s">
        <v>13</v>
      </c>
      <c r="B10" s="111" t="s">
        <v>17</v>
      </c>
      <c r="C10" s="26" t="s">
        <v>20</v>
      </c>
      <c r="D10" s="44">
        <v>18640</v>
      </c>
      <c r="E10" s="52"/>
      <c r="F10" s="15"/>
      <c r="G10" s="15"/>
      <c r="H10" s="16"/>
      <c r="I10" s="61"/>
      <c r="J10" s="90"/>
      <c r="K10" s="90"/>
      <c r="L10" s="39">
        <v>18858</v>
      </c>
    </row>
    <row r="11" spans="1:12" ht="12.75">
      <c r="A11" s="7" t="s">
        <v>14</v>
      </c>
      <c r="B11" s="111" t="s">
        <v>18</v>
      </c>
      <c r="C11" s="26" t="s">
        <v>20</v>
      </c>
      <c r="D11" s="44">
        <v>1017</v>
      </c>
      <c r="E11" s="52"/>
      <c r="F11" s="15"/>
      <c r="G11" s="15"/>
      <c r="H11" s="16"/>
      <c r="I11" s="61"/>
      <c r="J11" s="90"/>
      <c r="K11" s="90"/>
      <c r="L11" s="39">
        <v>1019</v>
      </c>
    </row>
    <row r="12" spans="1:12" ht="12.75">
      <c r="A12" s="7" t="s">
        <v>15</v>
      </c>
      <c r="B12" s="111" t="s">
        <v>19</v>
      </c>
      <c r="C12" s="26" t="s">
        <v>21</v>
      </c>
      <c r="D12" s="44">
        <v>559</v>
      </c>
      <c r="E12" s="52"/>
      <c r="F12" s="15"/>
      <c r="G12" s="15"/>
      <c r="H12" s="16"/>
      <c r="I12" s="61"/>
      <c r="J12" s="90"/>
      <c r="K12" s="90"/>
      <c r="L12" s="39"/>
    </row>
    <row r="13" spans="1:12" ht="13.5" customHeight="1">
      <c r="A13" s="7"/>
      <c r="B13" s="111"/>
      <c r="C13" s="26"/>
      <c r="D13" s="44"/>
      <c r="E13" s="52"/>
      <c r="F13" s="15"/>
      <c r="G13" s="15"/>
      <c r="H13" s="53"/>
      <c r="I13" s="61"/>
      <c r="J13" s="90"/>
      <c r="K13" s="90"/>
      <c r="L13" s="39"/>
    </row>
    <row r="14" spans="1:12" ht="12.75">
      <c r="A14" s="7" t="s">
        <v>22</v>
      </c>
      <c r="B14" s="111" t="s">
        <v>24</v>
      </c>
      <c r="C14" s="26"/>
      <c r="D14" s="44"/>
      <c r="E14" s="52"/>
      <c r="F14" s="15"/>
      <c r="G14" s="15"/>
      <c r="H14" s="16"/>
      <c r="I14" s="61"/>
      <c r="J14" s="90"/>
      <c r="K14" s="90"/>
      <c r="L14" s="39"/>
    </row>
    <row r="15" spans="1:12" ht="12.75" customHeight="1">
      <c r="A15" s="7" t="s">
        <v>23</v>
      </c>
      <c r="B15" s="109" t="s">
        <v>25</v>
      </c>
      <c r="C15" s="26" t="s">
        <v>42</v>
      </c>
      <c r="D15" s="45">
        <f>SUM(D16:D16)</f>
        <v>3480000</v>
      </c>
      <c r="E15" s="54">
        <f>SUM(E16:E16)</f>
        <v>1922105.84</v>
      </c>
      <c r="F15" s="34">
        <f>SUM(F16:F16)</f>
        <v>707293.7</v>
      </c>
      <c r="G15" s="34">
        <f>SUM(G16:G16)</f>
        <v>922881.32</v>
      </c>
      <c r="H15" s="57">
        <f>SUM(H16:H16)</f>
        <v>1024606.23</v>
      </c>
      <c r="I15" s="74">
        <f>SUM(E15+F15+G15+H15)</f>
        <v>4576887.09</v>
      </c>
      <c r="J15" s="91">
        <f>SUM(I15-D15)</f>
        <v>1096887.0899999999</v>
      </c>
      <c r="K15" s="326" t="s">
        <v>94</v>
      </c>
      <c r="L15" s="105">
        <f>SUM(L16:L16)</f>
        <v>4038000</v>
      </c>
    </row>
    <row r="16" spans="1:12" ht="12.75">
      <c r="A16" s="7"/>
      <c r="B16" s="111" t="s">
        <v>26</v>
      </c>
      <c r="C16" s="26" t="s">
        <v>42</v>
      </c>
      <c r="D16" s="45">
        <v>3480000</v>
      </c>
      <c r="E16" s="54">
        <v>1922105.84</v>
      </c>
      <c r="F16" s="34">
        <v>707293.7</v>
      </c>
      <c r="G16" s="34">
        <v>922881.32</v>
      </c>
      <c r="H16" s="57">
        <v>1024606.23</v>
      </c>
      <c r="I16" s="74">
        <f>SUM(E16+F16+G16+H16)</f>
        <v>4576887.09</v>
      </c>
      <c r="J16" s="92">
        <f>SUM(I16-D16)</f>
        <v>1096887.0899999999</v>
      </c>
      <c r="K16" s="327"/>
      <c r="L16" s="104">
        <v>4038000</v>
      </c>
    </row>
    <row r="17" spans="1:12" ht="27" customHeight="1">
      <c r="A17" s="7"/>
      <c r="B17" s="111"/>
      <c r="C17" s="26"/>
      <c r="D17" s="44"/>
      <c r="E17" s="52"/>
      <c r="F17" s="15"/>
      <c r="G17" s="15"/>
      <c r="H17" s="16"/>
      <c r="I17" s="74"/>
      <c r="J17" s="92"/>
      <c r="K17" s="328"/>
      <c r="L17" s="39"/>
    </row>
    <row r="18" spans="1:12" ht="25.5">
      <c r="A18" s="7" t="s">
        <v>27</v>
      </c>
      <c r="B18" s="109" t="s">
        <v>28</v>
      </c>
      <c r="C18" s="26" t="s">
        <v>42</v>
      </c>
      <c r="D18" s="45">
        <f>SUM(D19:D23)</f>
        <v>5100000</v>
      </c>
      <c r="E18" s="78">
        <f>SUM(E19:E23)</f>
        <v>241779.09</v>
      </c>
      <c r="F18" s="17">
        <f>SUM(F19:F23)</f>
        <v>633339.0700000001</v>
      </c>
      <c r="G18" s="17">
        <f>SUM(G19:G23)</f>
        <v>827986.81</v>
      </c>
      <c r="H18" s="73">
        <f>SUM(H19:H23)</f>
        <v>1396840.68</v>
      </c>
      <c r="I18" s="74">
        <f>SUM(E18+F18+G18+H18)</f>
        <v>3099945.6500000004</v>
      </c>
      <c r="J18" s="91">
        <f>SUM(I18-D18)</f>
        <v>-2000054.3499999996</v>
      </c>
      <c r="K18" s="329" t="s">
        <v>104</v>
      </c>
      <c r="L18" s="105">
        <f>SUM(L19:L23)</f>
        <v>6350000</v>
      </c>
    </row>
    <row r="19" spans="1:12" ht="12.75">
      <c r="A19" s="7"/>
      <c r="B19" s="111" t="s">
        <v>29</v>
      </c>
      <c r="C19" s="26" t="s">
        <v>42</v>
      </c>
      <c r="D19" s="45">
        <v>450000</v>
      </c>
      <c r="E19" s="52"/>
      <c r="F19" s="15">
        <f>19195.73+14516.66</f>
        <v>33712.39</v>
      </c>
      <c r="G19" s="17">
        <f>29016.07+24163.25+22321.88</f>
        <v>75501.2</v>
      </c>
      <c r="H19" s="16">
        <f>36208.24+32560.15+32322.39</f>
        <v>101090.78</v>
      </c>
      <c r="I19" s="74">
        <f>SUM(D19:H19)</f>
        <v>660304.37</v>
      </c>
      <c r="J19" s="92">
        <f>I19-D19</f>
        <v>210304.37</v>
      </c>
      <c r="K19" s="330"/>
      <c r="L19" s="104">
        <v>500000</v>
      </c>
    </row>
    <row r="20" spans="1:12" ht="12.75">
      <c r="A20" s="7"/>
      <c r="B20" s="111" t="s">
        <v>30</v>
      </c>
      <c r="C20" s="26" t="s">
        <v>42</v>
      </c>
      <c r="D20" s="45">
        <v>350000</v>
      </c>
      <c r="E20" s="52">
        <v>2548.24</v>
      </c>
      <c r="F20" s="15">
        <f>20508.89+15412.13</f>
        <v>35921.02</v>
      </c>
      <c r="G20" s="15">
        <f>27439.48+22718.18+20565.79</f>
        <v>70723.45000000001</v>
      </c>
      <c r="H20" s="16">
        <f>32072.87+27831.71+31801.91</f>
        <v>91706.49</v>
      </c>
      <c r="I20" s="74">
        <f>SUM(D20:H20)</f>
        <v>550899.2000000001</v>
      </c>
      <c r="J20" s="92">
        <f>SUM(I20-D20)</f>
        <v>200899.20000000007</v>
      </c>
      <c r="K20" s="330"/>
      <c r="L20" s="104">
        <v>400000</v>
      </c>
    </row>
    <row r="21" spans="1:12" ht="12.75">
      <c r="A21" s="7"/>
      <c r="B21" s="111" t="s">
        <v>31</v>
      </c>
      <c r="C21" s="26" t="s">
        <v>42</v>
      </c>
      <c r="D21" s="45">
        <v>1000000</v>
      </c>
      <c r="E21" s="78">
        <v>27008.8</v>
      </c>
      <c r="F21" s="15">
        <f>59504.93+43749.94</f>
        <v>103254.87</v>
      </c>
      <c r="G21" s="15">
        <f>69245.59+59111+52588.75</f>
        <v>180945.34</v>
      </c>
      <c r="H21" s="16">
        <f>78541.6+64778.69+89376.57</f>
        <v>232696.86000000002</v>
      </c>
      <c r="I21" s="74">
        <f>SUM(D21:H21)</f>
        <v>1543905.87</v>
      </c>
      <c r="J21" s="92">
        <f>SUM(I21-D21)</f>
        <v>543905.8700000001</v>
      </c>
      <c r="K21" s="330"/>
      <c r="L21" s="104">
        <v>1000000</v>
      </c>
    </row>
    <row r="22" spans="1:12" ht="12.75">
      <c r="A22" s="7"/>
      <c r="B22" s="111" t="s">
        <v>32</v>
      </c>
      <c r="C22" s="26" t="s">
        <v>42</v>
      </c>
      <c r="D22" s="45">
        <v>2000000</v>
      </c>
      <c r="E22" s="52">
        <v>169495.31</v>
      </c>
      <c r="F22" s="17">
        <f>259192.3+117424.8</f>
        <v>376617.1</v>
      </c>
      <c r="G22" s="15">
        <f>153597.7+108086.5+50583.59</f>
        <v>312267.79000000004</v>
      </c>
      <c r="H22" s="73">
        <f>159491+258098.5+296136.5</f>
        <v>713726</v>
      </c>
      <c r="I22" s="74">
        <f>SUM(D22:H22)</f>
        <v>3572106.2</v>
      </c>
      <c r="J22" s="92">
        <f>SUM(I22-D22)</f>
        <v>1572106.2000000002</v>
      </c>
      <c r="K22" s="330"/>
      <c r="L22" s="104">
        <v>2700000</v>
      </c>
    </row>
    <row r="23" spans="1:12" ht="12.75">
      <c r="A23" s="7"/>
      <c r="B23" s="111" t="s">
        <v>39</v>
      </c>
      <c r="C23" s="26" t="s">
        <v>42</v>
      </c>
      <c r="D23" s="45">
        <v>1300000</v>
      </c>
      <c r="E23" s="52">
        <v>42726.74</v>
      </c>
      <c r="F23" s="15">
        <f>54512.59+29321.1</f>
        <v>83833.69</v>
      </c>
      <c r="G23" s="15">
        <f>70345.35+60194.39+58009.29</f>
        <v>188549.03</v>
      </c>
      <c r="H23" s="16">
        <f>85199.21+67779.64+104641.7</f>
        <v>257620.55</v>
      </c>
      <c r="I23" s="74">
        <f>SUM(D23:H23)</f>
        <v>1872730.01</v>
      </c>
      <c r="J23" s="92">
        <f>SUM(I23-D23)</f>
        <v>572730.01</v>
      </c>
      <c r="K23" s="331"/>
      <c r="L23" s="104">
        <v>1750000</v>
      </c>
    </row>
    <row r="24" spans="1:12" ht="25.5">
      <c r="A24" s="7" t="s">
        <v>33</v>
      </c>
      <c r="B24" s="109" t="s">
        <v>92</v>
      </c>
      <c r="C24" s="26" t="s">
        <v>42</v>
      </c>
      <c r="D24" s="45">
        <v>707500</v>
      </c>
      <c r="E24" s="54">
        <v>115324.63</v>
      </c>
      <c r="F24" s="15">
        <v>79577.51</v>
      </c>
      <c r="G24" s="15">
        <v>64509.03</v>
      </c>
      <c r="H24" s="57">
        <v>40317.01</v>
      </c>
      <c r="I24" s="74">
        <f>SUM(E24:H24)</f>
        <v>299728.18</v>
      </c>
      <c r="J24" s="92">
        <f>I24-D24</f>
        <v>-407771.82</v>
      </c>
      <c r="K24" s="123"/>
      <c r="L24" s="105">
        <v>750000</v>
      </c>
    </row>
    <row r="25" spans="1:12" ht="25.5">
      <c r="A25" s="7" t="s">
        <v>34</v>
      </c>
      <c r="B25" s="109" t="s">
        <v>38</v>
      </c>
      <c r="C25" s="26" t="s">
        <v>42</v>
      </c>
      <c r="D25" s="45">
        <v>150000</v>
      </c>
      <c r="E25" s="52"/>
      <c r="F25" s="15"/>
      <c r="G25" s="15"/>
      <c r="H25" s="16"/>
      <c r="I25" s="74">
        <v>0</v>
      </c>
      <c r="J25" s="92">
        <f>I25-D25</f>
        <v>-150000</v>
      </c>
      <c r="K25" s="123"/>
      <c r="L25" s="39"/>
    </row>
    <row r="26" spans="1:12" ht="25.5">
      <c r="A26" s="7" t="s">
        <v>35</v>
      </c>
      <c r="B26" s="109" t="s">
        <v>78</v>
      </c>
      <c r="C26" s="26" t="s">
        <v>42</v>
      </c>
      <c r="D26" s="45">
        <v>320000</v>
      </c>
      <c r="E26" s="54">
        <v>73960</v>
      </c>
      <c r="F26" s="15"/>
      <c r="G26" s="17">
        <v>49000</v>
      </c>
      <c r="H26" s="58">
        <v>44900</v>
      </c>
      <c r="I26" s="74">
        <f>SUM(E26+F26+G26+H26)</f>
        <v>167860</v>
      </c>
      <c r="J26" s="91">
        <f>SUM(I26-D26)</f>
        <v>-152140</v>
      </c>
      <c r="K26" s="122"/>
      <c r="L26" s="105">
        <v>240000</v>
      </c>
    </row>
    <row r="27" spans="1:12" ht="25.5">
      <c r="A27" s="7" t="s">
        <v>36</v>
      </c>
      <c r="B27" s="109" t="s">
        <v>40</v>
      </c>
      <c r="C27" s="26" t="s">
        <v>42</v>
      </c>
      <c r="D27" s="45">
        <v>826000</v>
      </c>
      <c r="E27" s="78">
        <v>30858.72</v>
      </c>
      <c r="F27" s="17">
        <f>63476.66+46866.9</f>
        <v>110343.56</v>
      </c>
      <c r="G27" s="15">
        <f>84393.54+81926.16+63844.35</f>
        <v>230164.05000000002</v>
      </c>
      <c r="H27" s="16">
        <f>88276.47+66804.53+82502.86</f>
        <v>237583.86</v>
      </c>
      <c r="I27" s="74">
        <f>SUM(E27+F27+G27+H27)</f>
        <v>608950.19</v>
      </c>
      <c r="J27" s="91">
        <f>SUM(I27-D27)</f>
        <v>-217049.81000000006</v>
      </c>
      <c r="K27" s="128" t="s">
        <v>95</v>
      </c>
      <c r="L27" s="105">
        <v>838800</v>
      </c>
    </row>
    <row r="28" spans="1:12" ht="25.5">
      <c r="A28" s="7" t="s">
        <v>37</v>
      </c>
      <c r="B28" s="109" t="s">
        <v>41</v>
      </c>
      <c r="C28" s="26" t="s">
        <v>42</v>
      </c>
      <c r="D28" s="45">
        <v>841320</v>
      </c>
      <c r="E28" s="52"/>
      <c r="F28" s="15"/>
      <c r="G28" s="15"/>
      <c r="H28" s="16"/>
      <c r="I28" s="74">
        <f>SUM(E28+F28+G28+H28)</f>
        <v>0</v>
      </c>
      <c r="J28" s="91">
        <f>SUM(I28-D28)</f>
        <v>-841320</v>
      </c>
      <c r="K28" s="122"/>
      <c r="L28" s="118">
        <v>1579000</v>
      </c>
    </row>
    <row r="29" spans="1:12" ht="26.25" thickBot="1">
      <c r="A29" s="7" t="s">
        <v>88</v>
      </c>
      <c r="B29" s="112" t="s">
        <v>89</v>
      </c>
      <c r="C29" s="27" t="s">
        <v>42</v>
      </c>
      <c r="D29" s="46">
        <v>0</v>
      </c>
      <c r="E29" s="77">
        <v>66262.68</v>
      </c>
      <c r="F29" s="18"/>
      <c r="G29" s="18"/>
      <c r="H29" s="19"/>
      <c r="I29" s="74">
        <f>SUM(E29+F29+G29+H29)</f>
        <v>66262.68</v>
      </c>
      <c r="J29" s="93">
        <f>SUM(I29-D29)</f>
        <v>66262.68</v>
      </c>
      <c r="K29" s="124"/>
      <c r="L29" s="100"/>
    </row>
    <row r="30" spans="1:12" ht="13.5" thickBot="1">
      <c r="A30" s="23"/>
      <c r="B30" s="113" t="s">
        <v>43</v>
      </c>
      <c r="C30" s="28" t="s">
        <v>42</v>
      </c>
      <c r="D30" s="47">
        <f aca="true" t="shared" si="0" ref="D30:I30">SUM(D15+D18+D24+D25+D26+D27+D28)</f>
        <v>11424820</v>
      </c>
      <c r="E30" s="56">
        <f t="shared" si="0"/>
        <v>2384028.2800000003</v>
      </c>
      <c r="F30" s="41">
        <f t="shared" si="0"/>
        <v>1530553.84</v>
      </c>
      <c r="G30" s="41">
        <f t="shared" si="0"/>
        <v>2094541.21</v>
      </c>
      <c r="H30" s="65">
        <f t="shared" si="0"/>
        <v>2744247.78</v>
      </c>
      <c r="I30" s="49">
        <f t="shared" si="0"/>
        <v>8753371.11</v>
      </c>
      <c r="J30" s="94">
        <f>SUM(J15+J18+J24+J25+J26+J27+J28+J29)</f>
        <v>-2605186.2099999995</v>
      </c>
      <c r="K30" s="125"/>
      <c r="L30" s="108">
        <f>L15+L18+L26+L27+L24+L28</f>
        <v>13795800</v>
      </c>
    </row>
    <row r="31" spans="1:12" ht="12.75">
      <c r="A31" s="7" t="s">
        <v>44</v>
      </c>
      <c r="B31" s="109" t="s">
        <v>45</v>
      </c>
      <c r="C31" s="26"/>
      <c r="D31" s="44"/>
      <c r="E31" s="80"/>
      <c r="F31" s="81"/>
      <c r="G31" s="81"/>
      <c r="H31" s="60"/>
      <c r="I31" s="61"/>
      <c r="J31" s="90"/>
      <c r="K31" s="126"/>
      <c r="L31" s="102"/>
    </row>
    <row r="32" spans="1:12" ht="12.75">
      <c r="A32" s="7" t="s">
        <v>46</v>
      </c>
      <c r="B32" s="109" t="s">
        <v>47</v>
      </c>
      <c r="C32" s="26" t="s">
        <v>42</v>
      </c>
      <c r="D32" s="45">
        <f>SUM(D33:D54)</f>
        <v>4602200</v>
      </c>
      <c r="E32" s="54">
        <f>SUM(E33:E54)</f>
        <v>1480639.3099999998</v>
      </c>
      <c r="F32" s="17">
        <f>SUM(F33:F54)</f>
        <v>765107.85</v>
      </c>
      <c r="G32" s="17">
        <f>SUM(G33:G54)</f>
        <v>1025026.12</v>
      </c>
      <c r="H32" s="57">
        <f>SUM(H33:H54)</f>
        <v>1037299.2000000001</v>
      </c>
      <c r="I32" s="62">
        <f>SUM(E32+F32+G32+H32)</f>
        <v>4308072.4799999995</v>
      </c>
      <c r="J32" s="95">
        <f>I32-D32</f>
        <v>-294127.5200000005</v>
      </c>
      <c r="K32" s="129"/>
      <c r="L32" s="105">
        <f>SUM(L33:L54)</f>
        <v>5006826</v>
      </c>
    </row>
    <row r="33" spans="1:12" ht="26.25" customHeight="1">
      <c r="A33" s="7"/>
      <c r="B33" s="115" t="s">
        <v>48</v>
      </c>
      <c r="C33" s="26" t="s">
        <v>42</v>
      </c>
      <c r="D33" s="45">
        <v>1957000</v>
      </c>
      <c r="E33" s="54">
        <v>582572</v>
      </c>
      <c r="F33" s="17">
        <v>301585</v>
      </c>
      <c r="G33" s="17">
        <v>439492</v>
      </c>
      <c r="H33" s="58">
        <v>383303</v>
      </c>
      <c r="I33" s="62">
        <f aca="true" t="shared" si="1" ref="I33:I41">SUM(E33+F33+G33+H33)</f>
        <v>1706952</v>
      </c>
      <c r="J33" s="95">
        <f>I33-D33</f>
        <v>-250048</v>
      </c>
      <c r="K33" s="129" t="s">
        <v>96</v>
      </c>
      <c r="L33" s="104">
        <v>1250568</v>
      </c>
    </row>
    <row r="34" spans="1:12" ht="25.5">
      <c r="A34" s="7"/>
      <c r="B34" s="115" t="s">
        <v>91</v>
      </c>
      <c r="C34" s="26" t="s">
        <v>42</v>
      </c>
      <c r="D34" s="45"/>
      <c r="E34" s="54"/>
      <c r="F34" s="17"/>
      <c r="G34" s="17"/>
      <c r="H34" s="58"/>
      <c r="I34" s="62"/>
      <c r="J34" s="95">
        <f aca="true" t="shared" si="2" ref="J34:J54">I34-D34</f>
        <v>0</v>
      </c>
      <c r="K34" s="129"/>
      <c r="L34" s="104">
        <v>427570</v>
      </c>
    </row>
    <row r="35" spans="1:12" ht="12.75">
      <c r="A35" s="7"/>
      <c r="B35" s="115" t="s">
        <v>49</v>
      </c>
      <c r="C35" s="26" t="s">
        <v>42</v>
      </c>
      <c r="D35" s="45">
        <v>900200</v>
      </c>
      <c r="E35" s="54">
        <v>333900</v>
      </c>
      <c r="F35" s="17">
        <v>140625</v>
      </c>
      <c r="G35" s="17">
        <v>221862</v>
      </c>
      <c r="H35" s="16">
        <v>192920</v>
      </c>
      <c r="I35" s="62">
        <f t="shared" si="1"/>
        <v>889307</v>
      </c>
      <c r="J35" s="95">
        <f t="shared" si="2"/>
        <v>-10893</v>
      </c>
      <c r="K35" s="129" t="s">
        <v>97</v>
      </c>
      <c r="L35" s="104">
        <v>945588</v>
      </c>
    </row>
    <row r="36" spans="1:12" ht="12.75">
      <c r="A36" s="7"/>
      <c r="B36" s="115" t="s">
        <v>93</v>
      </c>
      <c r="C36" s="26" t="s">
        <v>42</v>
      </c>
      <c r="D36" s="45">
        <v>150000</v>
      </c>
      <c r="E36" s="82">
        <v>21300</v>
      </c>
      <c r="F36" s="15"/>
      <c r="G36" s="34">
        <v>1664.14</v>
      </c>
      <c r="H36" s="57">
        <v>18000</v>
      </c>
      <c r="I36" s="62">
        <f t="shared" si="1"/>
        <v>40964.14</v>
      </c>
      <c r="J36" s="95">
        <f t="shared" si="2"/>
        <v>-109035.86</v>
      </c>
      <c r="K36" s="129" t="s">
        <v>98</v>
      </c>
      <c r="L36" s="104">
        <v>110000</v>
      </c>
    </row>
    <row r="37" spans="1:12" ht="12.75">
      <c r="A37" s="7"/>
      <c r="B37" s="115" t="s">
        <v>51</v>
      </c>
      <c r="C37" s="26" t="s">
        <v>42</v>
      </c>
      <c r="D37" s="45">
        <v>50000</v>
      </c>
      <c r="E37" s="52"/>
      <c r="F37" s="17">
        <v>30000</v>
      </c>
      <c r="G37" s="15"/>
      <c r="H37" s="73">
        <v>13500</v>
      </c>
      <c r="I37" s="62">
        <f t="shared" si="1"/>
        <v>43500</v>
      </c>
      <c r="J37" s="95">
        <f t="shared" si="2"/>
        <v>-6500</v>
      </c>
      <c r="K37" s="129" t="s">
        <v>98</v>
      </c>
      <c r="L37" s="104">
        <v>80000</v>
      </c>
    </row>
    <row r="38" spans="1:12" ht="39" customHeight="1">
      <c r="A38" s="7"/>
      <c r="B38" s="115" t="s">
        <v>79</v>
      </c>
      <c r="C38" s="26" t="s">
        <v>42</v>
      </c>
      <c r="D38" s="45">
        <v>440000</v>
      </c>
      <c r="E38" s="54">
        <v>254285.52</v>
      </c>
      <c r="F38" s="15">
        <v>55857.12</v>
      </c>
      <c r="G38" s="34">
        <v>197436.04</v>
      </c>
      <c r="H38" s="57">
        <f>167063.02+54300</f>
        <v>221363.02</v>
      </c>
      <c r="I38" s="62">
        <f t="shared" si="1"/>
        <v>728941.7000000001</v>
      </c>
      <c r="J38" s="95">
        <f t="shared" si="2"/>
        <v>288941.70000000007</v>
      </c>
      <c r="K38" s="129" t="s">
        <v>100</v>
      </c>
      <c r="L38" s="104">
        <v>926100</v>
      </c>
    </row>
    <row r="39" spans="1:12" ht="25.5">
      <c r="A39" s="7"/>
      <c r="B39" s="114" t="s">
        <v>52</v>
      </c>
      <c r="C39" s="26" t="s">
        <v>42</v>
      </c>
      <c r="D39" s="45">
        <v>62000</v>
      </c>
      <c r="E39" s="82">
        <v>18000</v>
      </c>
      <c r="F39" s="17">
        <v>9000</v>
      </c>
      <c r="G39" s="17">
        <v>13500</v>
      </c>
      <c r="H39" s="57">
        <v>18000</v>
      </c>
      <c r="I39" s="62">
        <f t="shared" si="1"/>
        <v>58500</v>
      </c>
      <c r="J39" s="95">
        <f t="shared" si="2"/>
        <v>-3500</v>
      </c>
      <c r="K39" s="129" t="s">
        <v>98</v>
      </c>
      <c r="L39" s="104">
        <v>60000</v>
      </c>
    </row>
    <row r="40" spans="1:12" ht="12.75">
      <c r="A40" s="7"/>
      <c r="B40" s="114" t="s">
        <v>53</v>
      </c>
      <c r="C40" s="26" t="s">
        <v>42</v>
      </c>
      <c r="D40" s="45">
        <v>42000</v>
      </c>
      <c r="E40" s="54">
        <v>13889.56</v>
      </c>
      <c r="F40" s="15"/>
      <c r="G40" s="34">
        <v>17361.95</v>
      </c>
      <c r="H40" s="57">
        <v>3472.39</v>
      </c>
      <c r="I40" s="62">
        <f t="shared" si="1"/>
        <v>34723.9</v>
      </c>
      <c r="J40" s="95">
        <f t="shared" si="2"/>
        <v>-7276.0999999999985</v>
      </c>
      <c r="K40" s="129" t="s">
        <v>98</v>
      </c>
      <c r="L40" s="104">
        <v>46000</v>
      </c>
    </row>
    <row r="41" spans="1:12" ht="12.75">
      <c r="A41" s="7"/>
      <c r="B41" s="114" t="s">
        <v>54</v>
      </c>
      <c r="C41" s="26" t="s">
        <v>42</v>
      </c>
      <c r="D41" s="45">
        <v>250000</v>
      </c>
      <c r="E41" s="54">
        <v>23752.96</v>
      </c>
      <c r="F41" s="15"/>
      <c r="G41" s="34">
        <v>37424.56</v>
      </c>
      <c r="H41" s="57">
        <v>18712.28</v>
      </c>
      <c r="I41" s="62">
        <f t="shared" si="1"/>
        <v>79889.79999999999</v>
      </c>
      <c r="J41" s="95">
        <f t="shared" si="2"/>
        <v>-170110.2</v>
      </c>
      <c r="K41" s="129" t="s">
        <v>98</v>
      </c>
      <c r="L41" s="104">
        <v>250000</v>
      </c>
    </row>
    <row r="42" spans="1:12" ht="34.5" customHeight="1">
      <c r="A42" s="7"/>
      <c r="B42" s="115" t="s">
        <v>99</v>
      </c>
      <c r="C42" s="26" t="s">
        <v>42</v>
      </c>
      <c r="D42" s="45">
        <v>30000</v>
      </c>
      <c r="E42" s="82">
        <v>2895</v>
      </c>
      <c r="F42" s="17">
        <v>7140.1</v>
      </c>
      <c r="G42" s="17">
        <v>3502.8</v>
      </c>
      <c r="H42" s="57">
        <v>21488</v>
      </c>
      <c r="I42" s="62">
        <f>SUM(E42+F42+G42+H42)</f>
        <v>35025.9</v>
      </c>
      <c r="J42" s="95">
        <f t="shared" si="2"/>
        <v>5025.9000000000015</v>
      </c>
      <c r="K42" s="129" t="s">
        <v>101</v>
      </c>
      <c r="L42" s="104">
        <v>50000</v>
      </c>
    </row>
    <row r="43" spans="1:12" ht="12.75">
      <c r="A43" s="7"/>
      <c r="B43" s="115" t="s">
        <v>55</v>
      </c>
      <c r="C43" s="26" t="s">
        <v>42</v>
      </c>
      <c r="D43" s="45">
        <v>120000</v>
      </c>
      <c r="E43" s="54">
        <v>46500.64</v>
      </c>
      <c r="F43" s="34">
        <v>30372.67</v>
      </c>
      <c r="G43" s="17">
        <v>3245</v>
      </c>
      <c r="H43" s="57">
        <v>29899.81</v>
      </c>
      <c r="I43" s="62">
        <f>SUM(E43+F43+G43+H43)</f>
        <v>110018.12</v>
      </c>
      <c r="J43" s="95">
        <f t="shared" si="2"/>
        <v>-9981.880000000005</v>
      </c>
      <c r="K43" s="129" t="s">
        <v>98</v>
      </c>
      <c r="L43" s="104">
        <v>110000</v>
      </c>
    </row>
    <row r="44" spans="1:12" ht="12.75">
      <c r="A44" s="7"/>
      <c r="B44" s="114" t="s">
        <v>56</v>
      </c>
      <c r="C44" s="26" t="s">
        <v>42</v>
      </c>
      <c r="D44" s="45">
        <v>60000</v>
      </c>
      <c r="E44" s="82">
        <v>15700</v>
      </c>
      <c r="F44" s="15"/>
      <c r="G44" s="15"/>
      <c r="H44" s="16"/>
      <c r="I44" s="62">
        <f aca="true" t="shared" si="3" ref="I44:I67">SUM(E44+F44+G44+H44)</f>
        <v>15700</v>
      </c>
      <c r="J44" s="95">
        <f t="shared" si="2"/>
        <v>-44300</v>
      </c>
      <c r="K44" s="129" t="s">
        <v>98</v>
      </c>
      <c r="L44" s="104"/>
    </row>
    <row r="45" spans="1:12" ht="12.75">
      <c r="A45" s="7"/>
      <c r="B45" s="114" t="s">
        <v>57</v>
      </c>
      <c r="C45" s="26" t="s">
        <v>42</v>
      </c>
      <c r="D45" s="45">
        <v>80000</v>
      </c>
      <c r="E45" s="82">
        <v>15120</v>
      </c>
      <c r="F45" s="17">
        <v>7560</v>
      </c>
      <c r="G45" s="17">
        <v>11340</v>
      </c>
      <c r="H45" s="58">
        <v>12600</v>
      </c>
      <c r="I45" s="62">
        <f t="shared" si="3"/>
        <v>46620</v>
      </c>
      <c r="J45" s="95">
        <f t="shared" si="2"/>
        <v>-33380</v>
      </c>
      <c r="K45" s="129" t="s">
        <v>98</v>
      </c>
      <c r="L45" s="104">
        <v>50000</v>
      </c>
    </row>
    <row r="46" spans="1:12" ht="12.75">
      <c r="A46" s="7"/>
      <c r="B46" s="114" t="s">
        <v>58</v>
      </c>
      <c r="C46" s="26" t="s">
        <v>42</v>
      </c>
      <c r="D46" s="45">
        <v>30000</v>
      </c>
      <c r="E46" s="54">
        <v>11249.4</v>
      </c>
      <c r="F46" s="15"/>
      <c r="G46" s="15"/>
      <c r="H46" s="57">
        <v>5624.7</v>
      </c>
      <c r="I46" s="62">
        <f t="shared" si="3"/>
        <v>16874.1</v>
      </c>
      <c r="J46" s="95">
        <f t="shared" si="2"/>
        <v>-13125.900000000001</v>
      </c>
      <c r="K46" s="129" t="s">
        <v>98</v>
      </c>
      <c r="L46" s="104">
        <v>30000</v>
      </c>
    </row>
    <row r="47" spans="1:12" ht="31.5" customHeight="1">
      <c r="A47" s="7"/>
      <c r="B47" s="114" t="s">
        <v>85</v>
      </c>
      <c r="C47" s="26" t="s">
        <v>42</v>
      </c>
      <c r="D47" s="45">
        <v>220000</v>
      </c>
      <c r="E47" s="54">
        <v>46461</v>
      </c>
      <c r="F47" s="17">
        <v>70764</v>
      </c>
      <c r="G47" s="17">
        <v>61254</v>
      </c>
      <c r="H47" s="57">
        <v>70764</v>
      </c>
      <c r="I47" s="62">
        <f t="shared" si="3"/>
        <v>249243</v>
      </c>
      <c r="J47" s="95">
        <f t="shared" si="2"/>
        <v>29243</v>
      </c>
      <c r="K47" s="129" t="s">
        <v>105</v>
      </c>
      <c r="L47" s="104">
        <v>240000</v>
      </c>
    </row>
    <row r="48" spans="1:12" ht="37.5" customHeight="1">
      <c r="A48" s="7"/>
      <c r="B48" s="114" t="s">
        <v>75</v>
      </c>
      <c r="C48" s="26" t="s">
        <v>42</v>
      </c>
      <c r="D48" s="45">
        <v>15000</v>
      </c>
      <c r="E48" s="54">
        <v>4013.23</v>
      </c>
      <c r="F48" s="15">
        <v>8446.01</v>
      </c>
      <c r="G48" s="15">
        <v>2303.63</v>
      </c>
      <c r="H48" s="73">
        <v>6552</v>
      </c>
      <c r="I48" s="62">
        <f t="shared" si="3"/>
        <v>21314.87</v>
      </c>
      <c r="J48" s="95">
        <f t="shared" si="2"/>
        <v>6314.869999999999</v>
      </c>
      <c r="K48" s="129" t="s">
        <v>102</v>
      </c>
      <c r="L48" s="104">
        <v>50000</v>
      </c>
    </row>
    <row r="49" spans="1:12" ht="12.75">
      <c r="A49" s="11"/>
      <c r="B49" s="116" t="s">
        <v>59</v>
      </c>
      <c r="C49" s="27" t="s">
        <v>42</v>
      </c>
      <c r="D49" s="79">
        <v>1000</v>
      </c>
      <c r="E49" s="55"/>
      <c r="F49" s="18"/>
      <c r="G49" s="18"/>
      <c r="H49" s="87">
        <v>500</v>
      </c>
      <c r="I49" s="62">
        <f t="shared" si="3"/>
        <v>500</v>
      </c>
      <c r="J49" s="95">
        <f t="shared" si="2"/>
        <v>-500</v>
      </c>
      <c r="K49" s="129"/>
      <c r="L49" s="104">
        <v>1000</v>
      </c>
    </row>
    <row r="50" spans="1:12" ht="25.5">
      <c r="A50" s="11"/>
      <c r="B50" s="116" t="s">
        <v>80</v>
      </c>
      <c r="C50" s="27" t="s">
        <v>42</v>
      </c>
      <c r="D50" s="79">
        <v>100000</v>
      </c>
      <c r="E50" s="83">
        <v>55000</v>
      </c>
      <c r="F50" s="18"/>
      <c r="G50" s="20">
        <v>7375</v>
      </c>
      <c r="H50" s="19"/>
      <c r="I50" s="62">
        <f t="shared" si="3"/>
        <v>62375</v>
      </c>
      <c r="J50" s="95">
        <f t="shared" si="2"/>
        <v>-37625</v>
      </c>
      <c r="K50" s="129" t="s">
        <v>98</v>
      </c>
      <c r="L50" s="104">
        <v>150000</v>
      </c>
    </row>
    <row r="51" spans="1:12" ht="12.75">
      <c r="A51" s="11"/>
      <c r="B51" s="116" t="s">
        <v>60</v>
      </c>
      <c r="C51" s="27" t="s">
        <v>42</v>
      </c>
      <c r="D51" s="79">
        <v>15000</v>
      </c>
      <c r="E51" s="83">
        <v>15000</v>
      </c>
      <c r="F51" s="18"/>
      <c r="G51" s="18"/>
      <c r="H51" s="19"/>
      <c r="I51" s="62">
        <f t="shared" si="3"/>
        <v>15000</v>
      </c>
      <c r="J51" s="95">
        <f t="shared" si="2"/>
        <v>0</v>
      </c>
      <c r="K51" s="129"/>
      <c r="L51" s="104">
        <v>20000</v>
      </c>
    </row>
    <row r="52" spans="1:12" ht="12.75">
      <c r="A52" s="11"/>
      <c r="B52" s="116" t="s">
        <v>61</v>
      </c>
      <c r="C52" s="27" t="s">
        <v>42</v>
      </c>
      <c r="D52" s="79">
        <v>30000</v>
      </c>
      <c r="E52" s="77">
        <v>0</v>
      </c>
      <c r="F52" s="18"/>
      <c r="G52" s="18"/>
      <c r="H52" s="19"/>
      <c r="I52" s="62">
        <f t="shared" si="3"/>
        <v>0</v>
      </c>
      <c r="J52" s="95">
        <f t="shared" si="2"/>
        <v>-30000</v>
      </c>
      <c r="K52" s="129" t="s">
        <v>98</v>
      </c>
      <c r="L52" s="104">
        <v>50000</v>
      </c>
    </row>
    <row r="53" spans="1:12" ht="12.75">
      <c r="A53" s="11"/>
      <c r="B53" s="116" t="s">
        <v>77</v>
      </c>
      <c r="C53" s="27" t="s">
        <v>42</v>
      </c>
      <c r="D53" s="46"/>
      <c r="E53" s="83">
        <v>21000</v>
      </c>
      <c r="F53" s="20">
        <v>89960</v>
      </c>
      <c r="G53" s="18"/>
      <c r="H53" s="69">
        <v>17000</v>
      </c>
      <c r="I53" s="62">
        <f t="shared" si="3"/>
        <v>127960</v>
      </c>
      <c r="J53" s="95">
        <f t="shared" si="2"/>
        <v>127960</v>
      </c>
      <c r="K53" s="129"/>
      <c r="L53" s="104">
        <v>100000</v>
      </c>
    </row>
    <row r="54" spans="1:12" ht="27" customHeight="1">
      <c r="A54" s="11"/>
      <c r="B54" s="116" t="s">
        <v>87</v>
      </c>
      <c r="C54" s="27" t="s">
        <v>42</v>
      </c>
      <c r="D54" s="46">
        <v>50000</v>
      </c>
      <c r="E54" s="55"/>
      <c r="F54" s="18">
        <v>13797.95</v>
      </c>
      <c r="G54" s="20">
        <v>7265</v>
      </c>
      <c r="H54" s="69">
        <v>3600</v>
      </c>
      <c r="I54" s="62">
        <f t="shared" si="3"/>
        <v>24662.95</v>
      </c>
      <c r="J54" s="95">
        <f t="shared" si="2"/>
        <v>-25337.05</v>
      </c>
      <c r="K54" s="129" t="s">
        <v>98</v>
      </c>
      <c r="L54" s="104">
        <v>60000</v>
      </c>
    </row>
    <row r="55" spans="1:12" ht="25.5">
      <c r="A55" s="11" t="s">
        <v>62</v>
      </c>
      <c r="B55" s="112" t="s">
        <v>63</v>
      </c>
      <c r="C55" s="27" t="s">
        <v>42</v>
      </c>
      <c r="D55" s="79">
        <f>SUM(D56:D57)</f>
        <v>700000</v>
      </c>
      <c r="E55" s="55">
        <f>SUM(E56:E59)</f>
        <v>171645</v>
      </c>
      <c r="F55" s="20">
        <f>SUM(F56:F59)</f>
        <v>35073.4</v>
      </c>
      <c r="G55" s="64">
        <f>SUM(G56:G59)</f>
        <v>97603.07</v>
      </c>
      <c r="H55" s="87">
        <f>SUM(H56:H59)</f>
        <v>153227.3</v>
      </c>
      <c r="I55" s="62">
        <f t="shared" si="3"/>
        <v>457548.76999999996</v>
      </c>
      <c r="J55" s="96">
        <f>I55-D55</f>
        <v>-242451.23000000004</v>
      </c>
      <c r="K55" s="130"/>
      <c r="L55" s="105">
        <f>SUM(L56:L59)</f>
        <v>330000</v>
      </c>
    </row>
    <row r="56" spans="1:12" ht="51">
      <c r="A56" s="11"/>
      <c r="B56" s="66" t="s">
        <v>108</v>
      </c>
      <c r="C56" s="27" t="s">
        <v>42</v>
      </c>
      <c r="D56" s="79">
        <v>350000</v>
      </c>
      <c r="E56" s="55"/>
      <c r="F56" s="20">
        <v>6643.4</v>
      </c>
      <c r="G56" s="64">
        <v>37418.43</v>
      </c>
      <c r="H56" s="69">
        <v>153227.3</v>
      </c>
      <c r="I56" s="62">
        <f t="shared" si="3"/>
        <v>197289.13</v>
      </c>
      <c r="J56" s="97">
        <f>I56-D56</f>
        <v>-152710.87</v>
      </c>
      <c r="K56" s="130" t="s">
        <v>98</v>
      </c>
      <c r="L56" s="104">
        <v>100000</v>
      </c>
    </row>
    <row r="57" spans="1:12" ht="38.25">
      <c r="A57" s="11"/>
      <c r="B57" s="66" t="s">
        <v>84</v>
      </c>
      <c r="C57" s="27" t="s">
        <v>42</v>
      </c>
      <c r="D57" s="46">
        <v>350000</v>
      </c>
      <c r="E57" s="83">
        <v>5148</v>
      </c>
      <c r="F57" s="20">
        <v>16430</v>
      </c>
      <c r="G57" s="64">
        <v>60184.64</v>
      </c>
      <c r="H57" s="69">
        <v>0</v>
      </c>
      <c r="I57" s="62">
        <f t="shared" si="3"/>
        <v>81762.64</v>
      </c>
      <c r="J57" s="97">
        <f>I57-D57</f>
        <v>-268237.36</v>
      </c>
      <c r="K57" s="130" t="s">
        <v>98</v>
      </c>
      <c r="L57" s="104">
        <v>80000</v>
      </c>
    </row>
    <row r="58" spans="1:12" ht="25.5">
      <c r="A58" s="11"/>
      <c r="B58" s="66" t="s">
        <v>107</v>
      </c>
      <c r="C58" s="27" t="s">
        <v>42</v>
      </c>
      <c r="D58" s="46"/>
      <c r="E58" s="83">
        <v>160000</v>
      </c>
      <c r="F58" s="20"/>
      <c r="G58" s="64"/>
      <c r="H58" s="84"/>
      <c r="I58" s="62">
        <f>SUM(E58+F58+G58+H58)</f>
        <v>160000</v>
      </c>
      <c r="J58" s="97">
        <f>SUM(D58-I58)</f>
        <v>-160000</v>
      </c>
      <c r="K58" s="130"/>
      <c r="L58" s="104">
        <v>150000</v>
      </c>
    </row>
    <row r="59" spans="1:12" ht="12.75">
      <c r="A59" s="11"/>
      <c r="B59" s="66" t="s">
        <v>76</v>
      </c>
      <c r="C59" s="27" t="s">
        <v>42</v>
      </c>
      <c r="D59" s="46"/>
      <c r="E59" s="83">
        <v>6497</v>
      </c>
      <c r="F59" s="20">
        <v>12000</v>
      </c>
      <c r="G59" s="18"/>
      <c r="H59" s="19"/>
      <c r="I59" s="62">
        <f t="shared" si="3"/>
        <v>18497</v>
      </c>
      <c r="J59" s="97">
        <f>SUM(D59-I59)</f>
        <v>-18497</v>
      </c>
      <c r="K59" s="130"/>
      <c r="L59" s="104"/>
    </row>
    <row r="60" spans="1:12" ht="12.75">
      <c r="A60" s="11" t="s">
        <v>64</v>
      </c>
      <c r="B60" s="112" t="s">
        <v>65</v>
      </c>
      <c r="C60" s="27" t="s">
        <v>42</v>
      </c>
      <c r="D60" s="79">
        <f>SUM(D61)</f>
        <v>200000</v>
      </c>
      <c r="E60" s="77">
        <f>SUM(E61)</f>
        <v>53431.24</v>
      </c>
      <c r="F60" s="64">
        <f>SUM(F61)</f>
        <v>60046.18</v>
      </c>
      <c r="G60" s="20">
        <f>SUM(G61)</f>
        <v>45788</v>
      </c>
      <c r="H60" s="69">
        <f>SUM(H61)</f>
        <v>57118.670000000006</v>
      </c>
      <c r="I60" s="62">
        <f t="shared" si="3"/>
        <v>216384.09</v>
      </c>
      <c r="J60" s="96">
        <f aca="true" t="shared" si="4" ref="J60:J66">I60-D60</f>
        <v>16384.089999999997</v>
      </c>
      <c r="K60" s="130"/>
      <c r="L60" s="105">
        <f>SUM(L61)</f>
        <v>300000</v>
      </c>
    </row>
    <row r="61" spans="1:12" ht="40.5" customHeight="1">
      <c r="A61" s="11"/>
      <c r="B61" s="132" t="s">
        <v>86</v>
      </c>
      <c r="C61" s="27" t="s">
        <v>42</v>
      </c>
      <c r="D61" s="79">
        <v>200000</v>
      </c>
      <c r="E61" s="77">
        <f>13352.28+40078.96</f>
        <v>53431.24</v>
      </c>
      <c r="F61" s="64">
        <f>32510.55+27535.63</f>
        <v>60046.18</v>
      </c>
      <c r="G61" s="20">
        <f>14084.83+31703.17</f>
        <v>45788</v>
      </c>
      <c r="H61" s="69">
        <f>13143.7+39703.18+1924.25+2347.54</f>
        <v>57118.670000000006</v>
      </c>
      <c r="I61" s="62">
        <f t="shared" si="3"/>
        <v>216384.09</v>
      </c>
      <c r="J61" s="97">
        <f t="shared" si="4"/>
        <v>16384.089999999997</v>
      </c>
      <c r="K61" s="130" t="s">
        <v>102</v>
      </c>
      <c r="L61" s="104">
        <v>300000</v>
      </c>
    </row>
    <row r="62" spans="1:12" ht="12.75">
      <c r="A62" s="11" t="s">
        <v>66</v>
      </c>
      <c r="B62" s="112" t="s">
        <v>67</v>
      </c>
      <c r="C62" s="27" t="s">
        <v>42</v>
      </c>
      <c r="D62" s="79">
        <f>SUM(D63:D66)</f>
        <v>5100000</v>
      </c>
      <c r="E62" s="77">
        <f>SUM(E63:E66)</f>
        <v>2419561.73</v>
      </c>
      <c r="F62" s="64">
        <f>SUM(F63:F66)</f>
        <v>865661.12</v>
      </c>
      <c r="G62" s="64">
        <f>SUM(G63:G66)</f>
        <v>620833.3799999999</v>
      </c>
      <c r="H62" s="69">
        <f>SUM(H63:H66)</f>
        <v>1366142.7</v>
      </c>
      <c r="I62" s="62">
        <f t="shared" si="3"/>
        <v>5272198.93</v>
      </c>
      <c r="J62" s="96">
        <f t="shared" si="4"/>
        <v>172198.9299999997</v>
      </c>
      <c r="K62" s="130"/>
      <c r="L62" s="105">
        <f>SUM(L63:L66)</f>
        <v>6350000</v>
      </c>
    </row>
    <row r="63" spans="1:12" ht="29.25" customHeight="1">
      <c r="A63" s="11"/>
      <c r="B63" s="66" t="s">
        <v>68</v>
      </c>
      <c r="C63" s="27" t="s">
        <v>42</v>
      </c>
      <c r="D63" s="79">
        <v>800000</v>
      </c>
      <c r="E63" s="77">
        <v>253218.91</v>
      </c>
      <c r="F63" s="64">
        <v>123764.18</v>
      </c>
      <c r="G63" s="64">
        <v>184220.05</v>
      </c>
      <c r="H63" s="69">
        <v>184192.26</v>
      </c>
      <c r="I63" s="62">
        <f t="shared" si="3"/>
        <v>745395.3999999999</v>
      </c>
      <c r="J63" s="97">
        <f t="shared" si="4"/>
        <v>-54604.60000000009</v>
      </c>
      <c r="K63" s="323" t="s">
        <v>98</v>
      </c>
      <c r="L63" s="104">
        <v>900000</v>
      </c>
    </row>
    <row r="64" spans="1:12" ht="12.75">
      <c r="A64" s="11"/>
      <c r="B64" s="66" t="s">
        <v>69</v>
      </c>
      <c r="C64" s="27" t="s">
        <v>42</v>
      </c>
      <c r="D64" s="79">
        <v>1000000</v>
      </c>
      <c r="E64" s="77">
        <v>342070.01</v>
      </c>
      <c r="F64" s="64">
        <v>85919.23</v>
      </c>
      <c r="G64" s="64">
        <v>63494.5</v>
      </c>
      <c r="H64" s="69">
        <v>249575.99</v>
      </c>
      <c r="I64" s="62">
        <f t="shared" si="3"/>
        <v>741059.73</v>
      </c>
      <c r="J64" s="97">
        <f t="shared" si="4"/>
        <v>-258940.27000000002</v>
      </c>
      <c r="K64" s="324"/>
      <c r="L64" s="104">
        <v>1000000</v>
      </c>
    </row>
    <row r="65" spans="1:12" ht="12.75">
      <c r="A65" s="11"/>
      <c r="B65" s="66" t="s">
        <v>70</v>
      </c>
      <c r="C65" s="27" t="s">
        <v>42</v>
      </c>
      <c r="D65" s="79">
        <v>2000000</v>
      </c>
      <c r="E65" s="77">
        <v>1214325.62</v>
      </c>
      <c r="F65" s="64">
        <v>452392.17</v>
      </c>
      <c r="G65" s="64">
        <v>95564.42</v>
      </c>
      <c r="H65" s="69">
        <v>568864.62</v>
      </c>
      <c r="I65" s="62">
        <f>SUM(E65+F65+G65+H65)</f>
        <v>2331146.83</v>
      </c>
      <c r="J65" s="97">
        <f t="shared" si="4"/>
        <v>331146.8300000001</v>
      </c>
      <c r="K65" s="323" t="s">
        <v>103</v>
      </c>
      <c r="L65" s="104">
        <v>2700000</v>
      </c>
    </row>
    <row r="66" spans="1:12" ht="12.75">
      <c r="A66" s="11"/>
      <c r="B66" s="66" t="s">
        <v>71</v>
      </c>
      <c r="C66" s="27" t="s">
        <v>42</v>
      </c>
      <c r="D66" s="79">
        <v>1300000</v>
      </c>
      <c r="E66" s="77">
        <v>609947.19</v>
      </c>
      <c r="F66" s="64">
        <v>203585.54</v>
      </c>
      <c r="G66" s="64">
        <v>277554.41</v>
      </c>
      <c r="H66" s="69">
        <v>363509.83</v>
      </c>
      <c r="I66" s="62">
        <f t="shared" si="3"/>
        <v>1454596.97</v>
      </c>
      <c r="J66" s="97">
        <f t="shared" si="4"/>
        <v>154596.96999999997</v>
      </c>
      <c r="K66" s="324"/>
      <c r="L66" s="104">
        <v>1750000</v>
      </c>
    </row>
    <row r="67" spans="1:12" ht="29.25" customHeight="1">
      <c r="A67" s="11" t="s">
        <v>72</v>
      </c>
      <c r="B67" s="112" t="s">
        <v>73</v>
      </c>
      <c r="C67" s="27" t="s">
        <v>42</v>
      </c>
      <c r="D67" s="79">
        <v>700000</v>
      </c>
      <c r="E67" s="55"/>
      <c r="F67" s="18"/>
      <c r="G67" s="18"/>
      <c r="H67" s="19"/>
      <c r="I67" s="62">
        <f t="shared" si="3"/>
        <v>0</v>
      </c>
      <c r="J67" s="96">
        <f>SUM(D67-I67)</f>
        <v>700000</v>
      </c>
      <c r="K67" s="130"/>
      <c r="L67" s="104"/>
    </row>
    <row r="68" spans="1:12" ht="13.5" thickBot="1">
      <c r="A68" s="11"/>
      <c r="B68" s="66"/>
      <c r="C68" s="27"/>
      <c r="D68" s="46"/>
      <c r="E68" s="85"/>
      <c r="F68" s="21"/>
      <c r="G68" s="21"/>
      <c r="H68" s="22"/>
      <c r="I68" s="63"/>
      <c r="J68" s="98"/>
      <c r="K68" s="131"/>
      <c r="L68" s="106"/>
    </row>
    <row r="69" spans="1:12" ht="13.5" thickBot="1">
      <c r="A69" s="29"/>
      <c r="B69" s="113" t="s">
        <v>74</v>
      </c>
      <c r="C69" s="28" t="s">
        <v>42</v>
      </c>
      <c r="D69" s="40">
        <f>SUM(D32+D55+D60+D62+D67)</f>
        <v>11302200</v>
      </c>
      <c r="E69" s="33">
        <f>SUM(E32+E55+E60+E62+E67)</f>
        <v>4125277.28</v>
      </c>
      <c r="F69" s="70">
        <f>SUM(F32+F55+F60+F62)</f>
        <v>1725888.55</v>
      </c>
      <c r="G69" s="41">
        <f>SUM(G32+G55+G60+G62+G67)</f>
        <v>1789250.5699999998</v>
      </c>
      <c r="H69" s="71">
        <f>SUM(H32+H55+H60+H62+H67)</f>
        <v>2613787.87</v>
      </c>
      <c r="I69" s="72">
        <f>SUM(I32+I55+I60+I62+I67)</f>
        <v>10254204.27</v>
      </c>
      <c r="J69" s="71">
        <f>SUM(J32+J55+J60+J62+J67)</f>
        <v>352004.2699999992</v>
      </c>
      <c r="K69" s="120"/>
      <c r="L69" s="107">
        <f>L32+L55+L60+L62</f>
        <v>11986826</v>
      </c>
    </row>
    <row r="70" spans="1:12" ht="13.5" thickBot="1">
      <c r="A70" s="8"/>
      <c r="B70" s="117"/>
      <c r="C70" s="31"/>
      <c r="D70" s="31"/>
      <c r="E70" s="31"/>
      <c r="F70" s="32"/>
      <c r="G70" s="32"/>
      <c r="H70" s="32"/>
      <c r="I70" s="32"/>
      <c r="J70" s="99"/>
      <c r="K70" s="121"/>
      <c r="L70" s="101"/>
    </row>
    <row r="72" spans="2:10" ht="7.5" customHeight="1">
      <c r="B72" s="325" t="s">
        <v>106</v>
      </c>
      <c r="C72" s="325"/>
      <c r="D72" s="325"/>
      <c r="E72" s="325"/>
      <c r="F72" s="325"/>
      <c r="G72" s="325"/>
      <c r="H72" s="325"/>
      <c r="I72" s="325"/>
      <c r="J72" s="325"/>
    </row>
    <row r="73" spans="2:10" ht="12.75">
      <c r="B73" s="325"/>
      <c r="C73" s="325"/>
      <c r="D73" s="325"/>
      <c r="E73" s="325"/>
      <c r="F73" s="325"/>
      <c r="G73" s="325"/>
      <c r="H73" s="325"/>
      <c r="I73" s="325"/>
      <c r="J73" s="325"/>
    </row>
    <row r="74" spans="2:10" ht="12.75">
      <c r="B74" s="325"/>
      <c r="C74" s="325"/>
      <c r="D74" s="325"/>
      <c r="E74" s="325"/>
      <c r="F74" s="325"/>
      <c r="G74" s="325"/>
      <c r="H74" s="325"/>
      <c r="I74" s="325"/>
      <c r="J74" s="325"/>
    </row>
    <row r="75" spans="2:10" ht="17.25" customHeight="1">
      <c r="B75" s="325"/>
      <c r="C75" s="325"/>
      <c r="D75" s="325"/>
      <c r="E75" s="325"/>
      <c r="F75" s="325"/>
      <c r="G75" s="325"/>
      <c r="H75" s="325"/>
      <c r="I75" s="325"/>
      <c r="J75" s="325"/>
    </row>
    <row r="76" spans="2:10" ht="18" customHeight="1">
      <c r="B76" s="325"/>
      <c r="C76" s="325"/>
      <c r="D76" s="325"/>
      <c r="E76" s="325"/>
      <c r="F76" s="325"/>
      <c r="G76" s="325"/>
      <c r="H76" s="325"/>
      <c r="I76" s="325"/>
      <c r="J76" s="325"/>
    </row>
  </sheetData>
  <sheetProtection/>
  <mergeCells count="5">
    <mergeCell ref="K65:K66"/>
    <mergeCell ref="B72:J76"/>
    <mergeCell ref="K15:K17"/>
    <mergeCell ref="K18:K23"/>
    <mergeCell ref="K63:K64"/>
  </mergeCells>
  <printOptions/>
  <pageMargins left="0.75" right="0.75" top="1" bottom="1" header="0.5" footer="0.5"/>
  <pageSetup fitToHeight="2" fitToWidth="2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2"/>
  <sheetViews>
    <sheetView tabSelected="1" zoomScalePageLayoutView="0" workbookViewId="0" topLeftCell="A39">
      <selection activeCell="E39" sqref="E39"/>
    </sheetView>
  </sheetViews>
  <sheetFormatPr defaultColWidth="9.00390625" defaultRowHeight="12.75"/>
  <cols>
    <col min="2" max="2" width="53.125" style="0" customWidth="1"/>
    <col min="3" max="3" width="21.375" style="0" customWidth="1"/>
    <col min="4" max="4" width="21.25390625" style="0" customWidth="1"/>
    <col min="5" max="5" width="10.875" style="0" customWidth="1"/>
    <col min="6" max="6" width="9.875" style="0" customWidth="1"/>
    <col min="7" max="7" width="10.625" style="0" customWidth="1"/>
    <col min="8" max="8" width="10.875" style="0" customWidth="1"/>
    <col min="10" max="10" width="11.00390625" style="0" customWidth="1"/>
    <col min="11" max="11" width="13.125" style="0" customWidth="1"/>
    <col min="12" max="12" width="11.75390625" style="0" customWidth="1"/>
  </cols>
  <sheetData>
    <row r="4" spans="1:5" ht="35.25">
      <c r="A4" s="256"/>
      <c r="B4" s="257" t="s">
        <v>192</v>
      </c>
      <c r="C4" s="258"/>
      <c r="D4" s="258"/>
      <c r="E4" s="258"/>
    </row>
    <row r="5" spans="2:5" ht="35.25">
      <c r="B5" s="257" t="s">
        <v>193</v>
      </c>
      <c r="C5" s="258"/>
      <c r="D5" s="258"/>
      <c r="E5" s="258"/>
    </row>
    <row r="8" spans="1:5" ht="26.25">
      <c r="A8" s="254"/>
      <c r="B8" s="293" t="s">
        <v>195</v>
      </c>
      <c r="C8" s="294"/>
      <c r="D8" s="294"/>
      <c r="E8" s="251"/>
    </row>
    <row r="9" spans="1:5" ht="15.75">
      <c r="A9" s="252"/>
      <c r="B9" s="260" t="s">
        <v>220</v>
      </c>
      <c r="C9" s="260"/>
      <c r="D9" s="260"/>
      <c r="E9" s="251"/>
    </row>
    <row r="10" spans="1:5" ht="15.75">
      <c r="A10" s="252"/>
      <c r="B10" s="301" t="s">
        <v>233</v>
      </c>
      <c r="C10" s="260"/>
      <c r="E10" s="260"/>
    </row>
    <row r="11" spans="1:5" ht="15.75">
      <c r="A11" s="252"/>
      <c r="B11" s="260" t="s">
        <v>194</v>
      </c>
      <c r="C11" s="259"/>
      <c r="D11" s="259"/>
      <c r="E11" s="251"/>
    </row>
    <row r="12" spans="1:6" ht="15.75">
      <c r="A12" s="259"/>
      <c r="B12" s="260"/>
      <c r="C12" s="259"/>
      <c r="D12" s="259"/>
      <c r="E12" s="251"/>
      <c r="F12" s="251"/>
    </row>
    <row r="13" spans="1:6" ht="15">
      <c r="A13" s="259"/>
      <c r="B13" s="259"/>
      <c r="C13" s="259"/>
      <c r="D13" s="259"/>
      <c r="E13" s="251"/>
      <c r="F13" s="251"/>
    </row>
    <row r="14" spans="1:6" ht="18.75" customHeight="1">
      <c r="A14" s="259" t="s">
        <v>158</v>
      </c>
      <c r="B14" s="259"/>
      <c r="C14" s="259"/>
      <c r="F14" s="251"/>
    </row>
    <row r="15" spans="1:6" ht="15.75">
      <c r="A15" s="261" t="s">
        <v>5</v>
      </c>
      <c r="B15" s="262" t="s">
        <v>6</v>
      </c>
      <c r="C15" s="263" t="s">
        <v>159</v>
      </c>
      <c r="D15" s="264"/>
      <c r="E15" s="251"/>
      <c r="F15" s="251"/>
    </row>
    <row r="16" spans="1:6" ht="15.75">
      <c r="A16" s="261"/>
      <c r="B16" s="265"/>
      <c r="C16" s="266" t="s">
        <v>160</v>
      </c>
      <c r="D16" s="264"/>
      <c r="E16" s="251"/>
      <c r="F16" s="251"/>
    </row>
    <row r="17" spans="1:6" ht="15.75">
      <c r="A17" s="267"/>
      <c r="B17" s="268" t="s">
        <v>177</v>
      </c>
      <c r="C17" s="269"/>
      <c r="D17" s="264"/>
      <c r="E17" s="251"/>
      <c r="F17" s="251"/>
    </row>
    <row r="18" spans="1:6" ht="15.75">
      <c r="A18" s="267"/>
      <c r="B18" s="268" t="s">
        <v>178</v>
      </c>
      <c r="C18" s="269"/>
      <c r="D18" s="264"/>
      <c r="E18" s="251"/>
      <c r="F18" s="251"/>
    </row>
    <row r="19" spans="1:6" ht="15.75">
      <c r="A19" s="270"/>
      <c r="B19" s="271"/>
      <c r="C19" s="272"/>
      <c r="D19" s="273"/>
      <c r="E19" s="251"/>
      <c r="F19" s="251"/>
    </row>
    <row r="20" spans="1:6" ht="15.75">
      <c r="A20" s="274" t="s">
        <v>166</v>
      </c>
      <c r="B20" s="275" t="s">
        <v>161</v>
      </c>
      <c r="C20" s="276"/>
      <c r="D20" s="273"/>
      <c r="E20" s="251"/>
      <c r="F20" s="251"/>
    </row>
    <row r="21" spans="1:6" ht="15.75">
      <c r="A21" s="277" t="s">
        <v>164</v>
      </c>
      <c r="B21" s="278" t="s">
        <v>162</v>
      </c>
      <c r="C21" s="279"/>
      <c r="D21" s="295"/>
      <c r="E21" s="251"/>
      <c r="F21" s="251"/>
    </row>
    <row r="22" spans="1:6" ht="15.75">
      <c r="A22" s="277"/>
      <c r="B22" s="278" t="s">
        <v>163</v>
      </c>
      <c r="C22" s="314">
        <v>5180878.8</v>
      </c>
      <c r="D22" s="39"/>
      <c r="E22" s="251"/>
      <c r="F22" s="251"/>
    </row>
    <row r="23" spans="1:6" ht="15.75">
      <c r="A23" s="277" t="s">
        <v>165</v>
      </c>
      <c r="B23" s="281" t="s">
        <v>224</v>
      </c>
      <c r="C23" s="315">
        <v>284121.2</v>
      </c>
      <c r="D23" s="39"/>
      <c r="E23" s="251"/>
      <c r="F23" s="251"/>
    </row>
    <row r="24" spans="1:6" ht="18">
      <c r="A24" s="283"/>
      <c r="B24" s="298" t="s">
        <v>196</v>
      </c>
      <c r="C24" s="313">
        <f>SUM(C22:C23)</f>
        <v>5465000</v>
      </c>
      <c r="D24" s="285"/>
      <c r="E24" s="251"/>
      <c r="F24" s="251"/>
    </row>
    <row r="25" spans="1:6" ht="18">
      <c r="A25" s="283"/>
      <c r="B25" s="296"/>
      <c r="C25" s="297"/>
      <c r="D25" s="282" t="s">
        <v>199</v>
      </c>
      <c r="E25" s="251"/>
      <c r="F25" s="251"/>
    </row>
    <row r="26" spans="1:6" ht="15.75">
      <c r="A26" s="283"/>
      <c r="B26" s="284"/>
      <c r="C26" s="285"/>
      <c r="D26" s="267"/>
      <c r="E26" s="251"/>
      <c r="F26" s="251"/>
    </row>
    <row r="27" spans="1:6" ht="15.75">
      <c r="A27" s="277"/>
      <c r="B27" s="281" t="s">
        <v>216</v>
      </c>
      <c r="C27" s="276"/>
      <c r="D27" s="267"/>
      <c r="E27" s="251"/>
      <c r="F27" s="251"/>
    </row>
    <row r="28" spans="1:6" ht="15">
      <c r="A28" s="277"/>
      <c r="B28" s="281"/>
      <c r="C28" s="276"/>
      <c r="D28" s="104"/>
      <c r="F28" s="251"/>
    </row>
    <row r="29" spans="1:6" ht="15.75">
      <c r="A29" s="286" t="s">
        <v>166</v>
      </c>
      <c r="B29" s="275" t="s">
        <v>161</v>
      </c>
      <c r="C29" s="276"/>
      <c r="D29" s="104"/>
      <c r="F29" s="251"/>
    </row>
    <row r="30" spans="1:6" ht="15.75">
      <c r="A30" s="277" t="s">
        <v>164</v>
      </c>
      <c r="B30" s="278" t="s">
        <v>213</v>
      </c>
      <c r="C30" s="279"/>
      <c r="D30" s="302">
        <v>3006189</v>
      </c>
      <c r="F30" s="251"/>
    </row>
    <row r="31" spans="1:6" ht="15.75">
      <c r="A31" s="277" t="s">
        <v>165</v>
      </c>
      <c r="B31" s="287" t="s">
        <v>190</v>
      </c>
      <c r="C31" s="280"/>
      <c r="D31" s="282">
        <v>137000</v>
      </c>
      <c r="F31" s="251"/>
    </row>
    <row r="32" spans="1:6" ht="15" customHeight="1">
      <c r="A32" s="277" t="s">
        <v>167</v>
      </c>
      <c r="B32" s="287" t="s">
        <v>215</v>
      </c>
      <c r="C32" s="280"/>
      <c r="D32" s="305">
        <v>12000</v>
      </c>
      <c r="F32" s="251"/>
    </row>
    <row r="33" spans="1:6" ht="15.75">
      <c r="A33" s="288" t="s">
        <v>169</v>
      </c>
      <c r="B33" s="289" t="s">
        <v>219</v>
      </c>
      <c r="C33" s="280"/>
      <c r="D33" s="282">
        <v>16000</v>
      </c>
      <c r="F33" s="251"/>
    </row>
    <row r="34" spans="1:6" ht="15" customHeight="1">
      <c r="A34" s="277" t="s">
        <v>170</v>
      </c>
      <c r="B34" s="287" t="s">
        <v>171</v>
      </c>
      <c r="C34" s="280"/>
      <c r="D34" s="282">
        <v>78000</v>
      </c>
      <c r="F34" s="251"/>
    </row>
    <row r="35" spans="1:6" ht="15.75">
      <c r="A35" s="277" t="s">
        <v>206</v>
      </c>
      <c r="B35" s="287" t="s">
        <v>168</v>
      </c>
      <c r="C35" s="280"/>
      <c r="D35" s="282">
        <v>325000</v>
      </c>
      <c r="F35" s="251"/>
    </row>
    <row r="36" spans="1:6" ht="15.75">
      <c r="A36" s="277" t="s">
        <v>207</v>
      </c>
      <c r="B36" s="306" t="s">
        <v>202</v>
      </c>
      <c r="C36" s="280"/>
      <c r="D36" s="307">
        <v>72000</v>
      </c>
      <c r="F36" s="251"/>
    </row>
    <row r="37" spans="1:6" ht="15.75">
      <c r="A37" s="277" t="s">
        <v>208</v>
      </c>
      <c r="B37" s="287" t="s">
        <v>184</v>
      </c>
      <c r="C37" s="300"/>
      <c r="D37" s="282">
        <v>14500</v>
      </c>
      <c r="F37" s="251"/>
    </row>
    <row r="38" spans="1:6" ht="15.75">
      <c r="A38" s="277" t="s">
        <v>209</v>
      </c>
      <c r="B38" s="289" t="s">
        <v>214</v>
      </c>
      <c r="C38" s="300"/>
      <c r="D38" s="282">
        <v>177000</v>
      </c>
      <c r="F38" s="251"/>
    </row>
    <row r="39" spans="1:6" ht="15.75">
      <c r="A39" s="277" t="s">
        <v>210</v>
      </c>
      <c r="B39" s="289" t="s">
        <v>204</v>
      </c>
      <c r="C39" s="280"/>
      <c r="D39" s="282">
        <v>6900</v>
      </c>
      <c r="F39" s="251"/>
    </row>
    <row r="40" spans="1:6" ht="30.75">
      <c r="A40" s="277" t="s">
        <v>172</v>
      </c>
      <c r="B40" s="316" t="s">
        <v>228</v>
      </c>
      <c r="C40" s="280"/>
      <c r="D40" s="282">
        <v>62000</v>
      </c>
      <c r="F40" s="251"/>
    </row>
    <row r="41" spans="1:6" ht="15.75">
      <c r="A41" s="277" t="s">
        <v>173</v>
      </c>
      <c r="B41" s="289" t="s">
        <v>205</v>
      </c>
      <c r="C41" s="280"/>
      <c r="D41" s="282">
        <v>36500</v>
      </c>
      <c r="F41" s="251"/>
    </row>
    <row r="42" spans="1:6" ht="30.75">
      <c r="A42" s="277" t="s">
        <v>174</v>
      </c>
      <c r="B42" s="316" t="s">
        <v>225</v>
      </c>
      <c r="C42" s="280"/>
      <c r="D42" s="282">
        <v>170000</v>
      </c>
      <c r="F42" s="251"/>
    </row>
    <row r="43" spans="1:6" ht="15.75">
      <c r="A43" s="277" t="s">
        <v>175</v>
      </c>
      <c r="B43" s="316" t="s">
        <v>230</v>
      </c>
      <c r="C43" s="280"/>
      <c r="D43" s="282">
        <v>20000</v>
      </c>
      <c r="F43" s="251"/>
    </row>
    <row r="44" spans="1:6" ht="15.75">
      <c r="A44" s="277" t="s">
        <v>211</v>
      </c>
      <c r="B44" s="287" t="s">
        <v>180</v>
      </c>
      <c r="C44" s="280"/>
      <c r="D44" s="282">
        <v>29000</v>
      </c>
      <c r="F44" s="251"/>
    </row>
    <row r="45" spans="1:6" ht="15.75">
      <c r="A45" s="277" t="s">
        <v>181</v>
      </c>
      <c r="B45" s="287" t="s">
        <v>179</v>
      </c>
      <c r="C45" s="280"/>
      <c r="D45" s="282">
        <v>95000</v>
      </c>
      <c r="F45" s="251"/>
    </row>
    <row r="46" spans="1:6" ht="15.75">
      <c r="A46" s="277" t="s">
        <v>182</v>
      </c>
      <c r="B46" s="287" t="s">
        <v>203</v>
      </c>
      <c r="C46" s="280"/>
      <c r="D46" s="282">
        <v>9700</v>
      </c>
      <c r="F46" s="251"/>
    </row>
    <row r="47" spans="1:6" ht="15.75">
      <c r="A47" s="277" t="s">
        <v>212</v>
      </c>
      <c r="B47" s="287" t="s">
        <v>223</v>
      </c>
      <c r="C47" s="280"/>
      <c r="D47" s="282">
        <v>45000</v>
      </c>
      <c r="F47" s="251"/>
    </row>
    <row r="48" spans="1:6" ht="15.75">
      <c r="A48" s="277" t="s">
        <v>183</v>
      </c>
      <c r="B48" s="287" t="s">
        <v>226</v>
      </c>
      <c r="C48" s="280"/>
      <c r="D48" s="282">
        <v>2500</v>
      </c>
      <c r="F48" s="251"/>
    </row>
    <row r="49" spans="1:6" ht="15.75">
      <c r="A49" s="277" t="s">
        <v>185</v>
      </c>
      <c r="B49" s="289" t="s">
        <v>222</v>
      </c>
      <c r="C49" s="300"/>
      <c r="D49" s="309">
        <v>20000</v>
      </c>
      <c r="F49" s="251"/>
    </row>
    <row r="50" spans="1:6" ht="30.75">
      <c r="A50" s="277" t="s">
        <v>186</v>
      </c>
      <c r="B50" s="310" t="s">
        <v>227</v>
      </c>
      <c r="C50" s="311"/>
      <c r="D50" s="312">
        <v>400000</v>
      </c>
      <c r="F50" s="251"/>
    </row>
    <row r="51" spans="1:6" ht="15.75">
      <c r="A51" s="277" t="s">
        <v>187</v>
      </c>
      <c r="B51" s="289" t="s">
        <v>218</v>
      </c>
      <c r="C51" s="280"/>
      <c r="D51" s="282">
        <v>70000</v>
      </c>
      <c r="F51" s="251"/>
    </row>
    <row r="52" spans="1:6" ht="15.75">
      <c r="A52" s="277" t="s">
        <v>189</v>
      </c>
      <c r="B52" s="289" t="s">
        <v>188</v>
      </c>
      <c r="C52" s="280"/>
      <c r="D52" s="282">
        <v>76000</v>
      </c>
      <c r="F52" s="251"/>
    </row>
    <row r="53" spans="1:6" ht="30.75">
      <c r="A53" s="277" t="s">
        <v>191</v>
      </c>
      <c r="B53" s="303" t="s">
        <v>217</v>
      </c>
      <c r="C53" s="280"/>
      <c r="D53" s="282">
        <v>428385</v>
      </c>
      <c r="F53" s="251"/>
    </row>
    <row r="54" spans="1:6" ht="15.75">
      <c r="A54" s="277" t="s">
        <v>229</v>
      </c>
      <c r="B54" s="289" t="s">
        <v>176</v>
      </c>
      <c r="C54" s="280"/>
      <c r="D54" s="282">
        <v>38000</v>
      </c>
      <c r="F54" s="251"/>
    </row>
    <row r="55" spans="1:6" ht="30">
      <c r="A55" s="277" t="s">
        <v>231</v>
      </c>
      <c r="B55" s="303" t="s">
        <v>221</v>
      </c>
      <c r="C55" s="280"/>
      <c r="D55" s="308">
        <v>118326</v>
      </c>
      <c r="F55" s="251"/>
    </row>
    <row r="56" spans="1:6" ht="15">
      <c r="A56" s="288"/>
      <c r="B56" s="289"/>
      <c r="C56" s="280"/>
      <c r="D56" s="267"/>
      <c r="F56" s="251"/>
    </row>
    <row r="57" spans="1:6" ht="15.75">
      <c r="A57" s="288"/>
      <c r="B57" s="289"/>
      <c r="C57" s="280"/>
      <c r="D57" s="302"/>
      <c r="E57" s="251"/>
      <c r="F57" s="251"/>
    </row>
    <row r="58" spans="1:6" ht="15.75">
      <c r="A58" s="288"/>
      <c r="B58" s="290" t="s">
        <v>197</v>
      </c>
      <c r="C58" s="280"/>
      <c r="D58" s="302">
        <f>SUM(D30:D56)</f>
        <v>5465000</v>
      </c>
      <c r="E58" s="251"/>
      <c r="F58" s="251"/>
    </row>
    <row r="59" spans="1:6" ht="15.75">
      <c r="A59" s="299"/>
      <c r="B59" s="290"/>
      <c r="C59" s="280"/>
      <c r="D59" s="251"/>
      <c r="E59" s="251"/>
      <c r="F59" s="251"/>
    </row>
    <row r="60" spans="1:6" ht="15.75">
      <c r="A60" s="278"/>
      <c r="B60" s="291" t="s">
        <v>198</v>
      </c>
      <c r="C60" s="280"/>
      <c r="D60" s="317">
        <f>C24-D58</f>
        <v>0</v>
      </c>
      <c r="E60" s="251"/>
      <c r="F60" s="251"/>
    </row>
    <row r="61" spans="1:6" ht="15">
      <c r="A61" s="292"/>
      <c r="B61" s="292"/>
      <c r="C61" s="292"/>
      <c r="D61" s="251"/>
      <c r="E61" s="251"/>
      <c r="F61" s="251"/>
    </row>
    <row r="62" spans="1:6" ht="15">
      <c r="A62" s="292"/>
      <c r="B62" s="292"/>
      <c r="C62" s="292"/>
      <c r="D62" s="251"/>
      <c r="E62" s="251"/>
      <c r="F62" s="251"/>
    </row>
    <row r="63" spans="1:6" ht="15">
      <c r="A63" s="292"/>
      <c r="B63" s="292" t="s">
        <v>232</v>
      </c>
      <c r="C63" s="292"/>
      <c r="D63" s="251"/>
      <c r="E63" s="251"/>
      <c r="F63" s="251"/>
    </row>
    <row r="64" spans="1:6" ht="15">
      <c r="A64" s="292"/>
      <c r="B64" s="292"/>
      <c r="C64" s="292"/>
      <c r="D64" s="251"/>
      <c r="E64" s="251"/>
      <c r="F64" s="251"/>
    </row>
    <row r="65" spans="1:6" ht="15">
      <c r="A65" s="292"/>
      <c r="B65" s="292"/>
      <c r="C65" s="292"/>
      <c r="D65" s="251"/>
      <c r="E65" s="251"/>
      <c r="F65" s="251"/>
    </row>
    <row r="66" spans="1:6" ht="15">
      <c r="A66" s="292"/>
      <c r="B66" s="334" t="s">
        <v>200</v>
      </c>
      <c r="C66" s="251" t="s">
        <v>201</v>
      </c>
      <c r="D66" s="251"/>
      <c r="E66" s="251"/>
      <c r="F66" s="251"/>
    </row>
    <row r="67" spans="1:6" ht="15">
      <c r="A67" s="259"/>
      <c r="B67" s="334"/>
      <c r="C67" s="251"/>
      <c r="D67" s="251"/>
      <c r="E67" s="251"/>
      <c r="F67" s="251"/>
    </row>
    <row r="68" spans="1:6" ht="15">
      <c r="A68" s="259"/>
      <c r="B68" s="332"/>
      <c r="C68" s="332"/>
      <c r="D68" s="304">
        <f>(D58/19797.7)/12</f>
        <v>23.003513876191004</v>
      </c>
      <c r="E68" s="251"/>
      <c r="F68" s="251"/>
    </row>
    <row r="69" spans="1:6" ht="31.5" customHeight="1">
      <c r="A69" s="259"/>
      <c r="B69" s="332"/>
      <c r="C69" s="332"/>
      <c r="D69" s="251"/>
      <c r="E69" s="251"/>
      <c r="F69" s="251"/>
    </row>
    <row r="70" spans="1:6" ht="15">
      <c r="A70" s="259"/>
      <c r="B70" s="332"/>
      <c r="C70" s="332"/>
      <c r="D70" s="251"/>
      <c r="E70" s="251"/>
      <c r="F70" s="251"/>
    </row>
    <row r="71" spans="1:6" ht="15">
      <c r="A71" s="259"/>
      <c r="B71" s="332"/>
      <c r="C71" s="332"/>
      <c r="D71" s="251"/>
      <c r="E71" s="251"/>
      <c r="F71" s="251"/>
    </row>
    <row r="72" spans="1:4" ht="15">
      <c r="A72" s="259"/>
      <c r="B72" s="332"/>
      <c r="C72" s="332"/>
      <c r="D72" s="140"/>
    </row>
    <row r="73" spans="1:3" ht="15">
      <c r="A73" s="259"/>
      <c r="B73" s="332"/>
      <c r="C73" s="332"/>
    </row>
    <row r="74" spans="1:3" ht="14.25">
      <c r="A74" s="253"/>
      <c r="B74" s="254"/>
      <c r="C74" s="254"/>
    </row>
    <row r="75" spans="1:3" ht="12.75">
      <c r="A75" s="254"/>
      <c r="B75" s="254"/>
      <c r="C75" s="254"/>
    </row>
    <row r="76" spans="1:3" ht="14.25">
      <c r="A76" s="254"/>
      <c r="B76" s="333"/>
      <c r="C76" s="253"/>
    </row>
    <row r="77" spans="1:3" ht="14.25">
      <c r="A77" s="254"/>
      <c r="B77" s="333"/>
      <c r="C77" s="253"/>
    </row>
    <row r="78" spans="1:3" ht="14.25">
      <c r="A78" s="254"/>
      <c r="B78" s="255"/>
      <c r="C78" s="253"/>
    </row>
    <row r="79" spans="1:3" ht="14.25">
      <c r="A79" s="254"/>
      <c r="B79" s="255"/>
      <c r="C79" s="253"/>
    </row>
    <row r="80" spans="1:3" ht="14.25">
      <c r="A80" s="254"/>
      <c r="B80" s="253"/>
      <c r="C80" s="253"/>
    </row>
    <row r="81" spans="1:3" ht="12.75">
      <c r="A81" s="254"/>
      <c r="B81" s="254"/>
      <c r="C81" s="254"/>
    </row>
    <row r="82" spans="1:3" ht="12.75">
      <c r="A82" s="254"/>
      <c r="B82" s="254"/>
      <c r="C82" s="254"/>
    </row>
  </sheetData>
  <sheetProtection/>
  <mergeCells count="4">
    <mergeCell ref="B68:C70"/>
    <mergeCell ref="B76:B77"/>
    <mergeCell ref="B71:C73"/>
    <mergeCell ref="B66:B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/>
  <cp:lastModifiedBy>Бухгалтер ТСЖ Родо 9</cp:lastModifiedBy>
  <cp:lastPrinted>2023-09-21T09:32:48Z</cp:lastPrinted>
  <dcterms:created xsi:type="dcterms:W3CDTF">2010-11-26T08:51:09Z</dcterms:created>
  <dcterms:modified xsi:type="dcterms:W3CDTF">2023-09-21T09:33:06Z</dcterms:modified>
  <cp:category/>
  <cp:version/>
  <cp:contentType/>
  <cp:contentStatus/>
</cp:coreProperties>
</file>